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58" i="2"/>
  <c r="K57"/>
  <c r="F57"/>
  <c r="K56"/>
  <c r="F56"/>
  <c r="K55"/>
  <c r="E54"/>
  <c r="K54"/>
  <c r="C142" i="1"/>
  <c r="E142" s="1"/>
  <c r="B142"/>
  <c r="F39" i="2"/>
  <c r="E39"/>
  <c r="D39"/>
  <c r="J9" i="1"/>
  <c r="K9"/>
  <c r="I9"/>
  <c r="D70" i="2"/>
  <c r="C70"/>
  <c r="D69"/>
  <c r="E69" s="1"/>
  <c r="C69"/>
  <c r="E68"/>
  <c r="D68"/>
  <c r="C68"/>
  <c r="B67"/>
  <c r="D64"/>
  <c r="C64"/>
  <c r="D57"/>
  <c r="D54"/>
  <c r="C57"/>
  <c r="B57"/>
  <c r="C56"/>
  <c r="D56" s="1"/>
  <c r="B56"/>
  <c r="C55"/>
  <c r="B55"/>
  <c r="D55" s="1"/>
  <c r="C54"/>
  <c r="B54"/>
  <c r="D53"/>
  <c r="E61" s="1"/>
  <c r="E67" s="1"/>
  <c r="C53"/>
  <c r="D61" s="1"/>
  <c r="D67" s="1"/>
  <c r="B53"/>
  <c r="C61" s="1"/>
  <c r="C67" s="1"/>
  <c r="F50"/>
  <c r="D51"/>
  <c r="G51" s="1"/>
  <c r="B51"/>
  <c r="D50"/>
  <c r="G50" s="1"/>
  <c r="B50"/>
  <c r="D49"/>
  <c r="G49" s="1"/>
  <c r="B49"/>
  <c r="D48"/>
  <c r="G48" s="1"/>
  <c r="B48"/>
  <c r="E45"/>
  <c r="D45"/>
  <c r="E41"/>
  <c r="D41"/>
  <c r="E40"/>
  <c r="D40"/>
  <c r="E38"/>
  <c r="D38"/>
  <c r="E37"/>
  <c r="D37"/>
  <c r="E36"/>
  <c r="D36"/>
  <c r="E35"/>
  <c r="D35"/>
  <c r="C38"/>
  <c r="C39" s="1"/>
  <c r="F34"/>
  <c r="E32"/>
  <c r="D32"/>
  <c r="E31"/>
  <c r="D31"/>
  <c r="B29"/>
  <c r="A29"/>
  <c r="A44" s="1"/>
  <c r="A53" s="1"/>
  <c r="A61" s="1"/>
  <c r="A67" s="1"/>
  <c r="E23"/>
  <c r="D23"/>
  <c r="F21"/>
  <c r="E20"/>
  <c r="F20" s="1"/>
  <c r="D20"/>
  <c r="C151" i="1"/>
  <c r="B151"/>
  <c r="D142"/>
  <c r="B141"/>
  <c r="B140"/>
  <c r="C139"/>
  <c r="B139"/>
  <c r="B127"/>
  <c r="D118"/>
  <c r="A117"/>
  <c r="A129" s="1"/>
  <c r="A116"/>
  <c r="A128" s="1"/>
  <c r="A114"/>
  <c r="A131" s="1"/>
  <c r="A137" s="1"/>
  <c r="A149" s="1"/>
  <c r="A110"/>
  <c r="D106"/>
  <c r="D114" s="1"/>
  <c r="D131" s="1"/>
  <c r="D137" s="1"/>
  <c r="C107"/>
  <c r="C115" s="1"/>
  <c r="C131" s="1"/>
  <c r="C137" s="1"/>
  <c r="B107"/>
  <c r="B115" s="1"/>
  <c r="B131" s="1"/>
  <c r="B137" s="1"/>
  <c r="B106"/>
  <c r="B114" s="1"/>
  <c r="A106"/>
  <c r="D97"/>
  <c r="D103"/>
  <c r="D104"/>
  <c r="C104"/>
  <c r="C103"/>
  <c r="C102"/>
  <c r="B103"/>
  <c r="B104"/>
  <c r="B102"/>
  <c r="C99"/>
  <c r="B99"/>
  <c r="C98"/>
  <c r="D98" s="1"/>
  <c r="B98"/>
  <c r="C97"/>
  <c r="B97"/>
  <c r="A103"/>
  <c r="A104"/>
  <c r="A102"/>
  <c r="A98"/>
  <c r="A99"/>
  <c r="A97"/>
  <c r="C89"/>
  <c r="C92"/>
  <c r="C122" s="1"/>
  <c r="B89"/>
  <c r="B92"/>
  <c r="B122" s="1"/>
  <c r="A89"/>
  <c r="A90"/>
  <c r="A91"/>
  <c r="A92"/>
  <c r="A88"/>
  <c r="H83"/>
  <c r="G83"/>
  <c r="F83"/>
  <c r="B77"/>
  <c r="A75"/>
  <c r="A74"/>
  <c r="H73"/>
  <c r="G73"/>
  <c r="F73"/>
  <c r="C66"/>
  <c r="C70"/>
  <c r="A65"/>
  <c r="A64"/>
  <c r="H63"/>
  <c r="G63"/>
  <c r="F63"/>
  <c r="C57"/>
  <c r="D57" s="1"/>
  <c r="D77" s="1"/>
  <c r="C59"/>
  <c r="C79" s="1"/>
  <c r="C60"/>
  <c r="C56"/>
  <c r="C76" s="1"/>
  <c r="B57"/>
  <c r="B59"/>
  <c r="B79" s="1"/>
  <c r="B60"/>
  <c r="B80" s="1"/>
  <c r="B56"/>
  <c r="B76" s="1"/>
  <c r="C50"/>
  <c r="C67" s="1"/>
  <c r="C51"/>
  <c r="C68" s="1"/>
  <c r="C52"/>
  <c r="C69" s="1"/>
  <c r="C53"/>
  <c r="C49"/>
  <c r="B50"/>
  <c r="B67" s="1"/>
  <c r="B51"/>
  <c r="B68" s="1"/>
  <c r="B52"/>
  <c r="B69" s="1"/>
  <c r="B53"/>
  <c r="B70" s="1"/>
  <c r="F70" s="1"/>
  <c r="B49"/>
  <c r="B66" s="1"/>
  <c r="F66" s="1"/>
  <c r="A60"/>
  <c r="A80" s="1"/>
  <c r="A57"/>
  <c r="A77" s="1"/>
  <c r="A58"/>
  <c r="A78" s="1"/>
  <c r="A59"/>
  <c r="A79" s="1"/>
  <c r="A56"/>
  <c r="A76" s="1"/>
  <c r="A53"/>
  <c r="A70" s="1"/>
  <c r="A50"/>
  <c r="A67" s="1"/>
  <c r="A51"/>
  <c r="A68" s="1"/>
  <c r="A52"/>
  <c r="A69" s="1"/>
  <c r="A49"/>
  <c r="A66" s="1"/>
  <c r="G44"/>
  <c r="H44"/>
  <c r="F44"/>
  <c r="D5" i="2"/>
  <c r="D8" s="1"/>
  <c r="D14" s="1"/>
  <c r="D46" s="1"/>
  <c r="C5"/>
  <c r="C8" s="1"/>
  <c r="C62" s="1"/>
  <c r="B5"/>
  <c r="B8" s="1"/>
  <c r="B14" s="1"/>
  <c r="B9" i="1"/>
  <c r="B13"/>
  <c r="B19" s="1"/>
  <c r="B28"/>
  <c r="B33"/>
  <c r="B38"/>
  <c r="E38"/>
  <c r="C100" s="1"/>
  <c r="C127" s="1"/>
  <c r="D127" s="1"/>
  <c r="D38"/>
  <c r="B100" s="1"/>
  <c r="B144" s="1"/>
  <c r="B145" s="1"/>
  <c r="C38"/>
  <c r="E33"/>
  <c r="C95" s="1"/>
  <c r="C110" s="1"/>
  <c r="D33"/>
  <c r="B95" s="1"/>
  <c r="B110" s="1"/>
  <c r="C33"/>
  <c r="C26"/>
  <c r="D26" s="1"/>
  <c r="E26" s="1"/>
  <c r="C91" s="1"/>
  <c r="C120" s="1"/>
  <c r="C25"/>
  <c r="D25" s="1"/>
  <c r="E25" s="1"/>
  <c r="C90" s="1"/>
  <c r="C121" s="1"/>
  <c r="C23"/>
  <c r="D23" s="1"/>
  <c r="B88" s="1"/>
  <c r="B119" s="1"/>
  <c r="E13"/>
  <c r="E19" s="1"/>
  <c r="D13"/>
  <c r="D19" s="1"/>
  <c r="B54" s="1"/>
  <c r="B74" s="1"/>
  <c r="F74" s="1"/>
  <c r="C13"/>
  <c r="C19" s="1"/>
  <c r="C20" s="1"/>
  <c r="E9"/>
  <c r="C47" s="1"/>
  <c r="C64" s="1"/>
  <c r="G64" s="1"/>
  <c r="D9"/>
  <c r="B47" s="1"/>
  <c r="B64" s="1"/>
  <c r="F64" s="1"/>
  <c r="C9"/>
  <c r="E70" i="2" l="1"/>
  <c r="C49"/>
  <c r="C48"/>
  <c r="F46"/>
  <c r="E48"/>
  <c r="B58"/>
  <c r="C63"/>
  <c r="E49"/>
  <c r="E50"/>
  <c r="F48"/>
  <c r="D62"/>
  <c r="E62" s="1"/>
  <c r="E51"/>
  <c r="F49"/>
  <c r="E46"/>
  <c r="F51"/>
  <c r="C58"/>
  <c r="D63"/>
  <c r="E63" s="1"/>
  <c r="E64"/>
  <c r="B47"/>
  <c r="C47" s="1"/>
  <c r="C14"/>
  <c r="B46" s="1"/>
  <c r="G46" s="1"/>
  <c r="F32"/>
  <c r="D25"/>
  <c r="F31"/>
  <c r="D24"/>
  <c r="E26"/>
  <c r="F26" s="1"/>
  <c r="D26"/>
  <c r="E24"/>
  <c r="D47"/>
  <c r="E22"/>
  <c r="F22" s="1"/>
  <c r="D22"/>
  <c r="E25"/>
  <c r="F41"/>
  <c r="F40"/>
  <c r="F38"/>
  <c r="F37"/>
  <c r="F36"/>
  <c r="F35"/>
  <c r="F23"/>
  <c r="B126" i="1"/>
  <c r="B146"/>
  <c r="D110"/>
  <c r="C126"/>
  <c r="D126" s="1"/>
  <c r="F67"/>
  <c r="E104"/>
  <c r="C140"/>
  <c r="C144"/>
  <c r="E139"/>
  <c r="D99"/>
  <c r="D139"/>
  <c r="G68"/>
  <c r="H68" s="1"/>
  <c r="B109"/>
  <c r="B143"/>
  <c r="B147" s="1"/>
  <c r="C109"/>
  <c r="G69"/>
  <c r="E103"/>
  <c r="D89"/>
  <c r="D102"/>
  <c r="E97"/>
  <c r="E98"/>
  <c r="B125"/>
  <c r="D122"/>
  <c r="F79"/>
  <c r="D100"/>
  <c r="E100"/>
  <c r="F68"/>
  <c r="F80"/>
  <c r="F69"/>
  <c r="H69" s="1"/>
  <c r="F76"/>
  <c r="G66"/>
  <c r="H66" s="1"/>
  <c r="F77"/>
  <c r="G67"/>
  <c r="G70"/>
  <c r="H70" s="1"/>
  <c r="B91"/>
  <c r="B120" s="1"/>
  <c r="D120" s="1"/>
  <c r="B39"/>
  <c r="C77"/>
  <c r="E99"/>
  <c r="E59"/>
  <c r="E79" s="1"/>
  <c r="E60"/>
  <c r="E80" s="1"/>
  <c r="E92"/>
  <c r="E102"/>
  <c r="C80"/>
  <c r="B90"/>
  <c r="E95"/>
  <c r="C93"/>
  <c r="B93"/>
  <c r="D95"/>
  <c r="E89"/>
  <c r="D92"/>
  <c r="E53"/>
  <c r="E70" s="1"/>
  <c r="C58"/>
  <c r="C78" s="1"/>
  <c r="D59"/>
  <c r="D79" s="1"/>
  <c r="D60"/>
  <c r="D80" s="1"/>
  <c r="E57"/>
  <c r="E77" s="1"/>
  <c r="E56"/>
  <c r="E76" s="1"/>
  <c r="B58"/>
  <c r="B78" s="1"/>
  <c r="F78" s="1"/>
  <c r="D52"/>
  <c r="D69" s="1"/>
  <c r="E20"/>
  <c r="D20"/>
  <c r="D53"/>
  <c r="D70" s="1"/>
  <c r="C54"/>
  <c r="D56"/>
  <c r="D76" s="1"/>
  <c r="D50"/>
  <c r="D67" s="1"/>
  <c r="D51"/>
  <c r="D68" s="1"/>
  <c r="E52"/>
  <c r="E69" s="1"/>
  <c r="D49"/>
  <c r="D66" s="1"/>
  <c r="E50"/>
  <c r="E67" s="1"/>
  <c r="E51"/>
  <c r="E68" s="1"/>
  <c r="E49"/>
  <c r="E66" s="1"/>
  <c r="E47"/>
  <c r="E64" s="1"/>
  <c r="D47"/>
  <c r="D64" s="1"/>
  <c r="B20"/>
  <c r="E23"/>
  <c r="D28"/>
  <c r="C28"/>
  <c r="C39" s="1"/>
  <c r="D33" i="2" l="1"/>
  <c r="B150" i="1"/>
  <c r="C46" i="2"/>
  <c r="C51"/>
  <c r="C50"/>
  <c r="E47"/>
  <c r="G47"/>
  <c r="F47"/>
  <c r="D58"/>
  <c r="F25"/>
  <c r="E27"/>
  <c r="F24"/>
  <c r="D90" i="1"/>
  <c r="B121"/>
  <c r="D121" s="1"/>
  <c r="E91"/>
  <c r="B129"/>
  <c r="B128"/>
  <c r="D140"/>
  <c r="E140"/>
  <c r="H67"/>
  <c r="D109"/>
  <c r="D144"/>
  <c r="E144"/>
  <c r="D91"/>
  <c r="C141"/>
  <c r="C145"/>
  <c r="E90"/>
  <c r="E28"/>
  <c r="C88"/>
  <c r="C119" s="1"/>
  <c r="D119" s="1"/>
  <c r="D123" s="1"/>
  <c r="D39"/>
  <c r="B86"/>
  <c r="D54"/>
  <c r="D74" s="1"/>
  <c r="C74"/>
  <c r="D93"/>
  <c r="E93"/>
  <c r="E54"/>
  <c r="E74" s="1"/>
  <c r="E58"/>
  <c r="E78" s="1"/>
  <c r="D58"/>
  <c r="D78" s="1"/>
  <c r="D145" l="1"/>
  <c r="E145"/>
  <c r="C146"/>
  <c r="D141"/>
  <c r="C143"/>
  <c r="E141"/>
  <c r="B108"/>
  <c r="B111" s="1"/>
  <c r="G78"/>
  <c r="H78" s="1"/>
  <c r="C125"/>
  <c r="G74"/>
  <c r="G76"/>
  <c r="H76" s="1"/>
  <c r="G79"/>
  <c r="H79" s="1"/>
  <c r="B45"/>
  <c r="B84"/>
  <c r="G77"/>
  <c r="H77" s="1"/>
  <c r="E39"/>
  <c r="C86"/>
  <c r="D88"/>
  <c r="E88"/>
  <c r="F86"/>
  <c r="G80"/>
  <c r="H80" s="1"/>
  <c r="C108" l="1"/>
  <c r="C132"/>
  <c r="D132" s="1"/>
  <c r="E146"/>
  <c r="D146"/>
  <c r="D143"/>
  <c r="E143"/>
  <c r="C147"/>
  <c r="B116"/>
  <c r="B112"/>
  <c r="B117" s="1"/>
  <c r="C129"/>
  <c r="D129" s="1"/>
  <c r="C128"/>
  <c r="D128" s="1"/>
  <c r="D125"/>
  <c r="F103"/>
  <c r="F104"/>
  <c r="B132"/>
  <c r="F84"/>
  <c r="F98"/>
  <c r="F97"/>
  <c r="F92"/>
  <c r="F88"/>
  <c r="F100"/>
  <c r="F89"/>
  <c r="F95"/>
  <c r="F102"/>
  <c r="F99"/>
  <c r="F93"/>
  <c r="F90"/>
  <c r="F91"/>
  <c r="C45"/>
  <c r="C84"/>
  <c r="F57"/>
  <c r="F51"/>
  <c r="F56"/>
  <c r="F52"/>
  <c r="F49"/>
  <c r="F45"/>
  <c r="F54"/>
  <c r="F50"/>
  <c r="F47"/>
  <c r="F60"/>
  <c r="F58"/>
  <c r="F53"/>
  <c r="F59"/>
  <c r="G86"/>
  <c r="H86" s="1"/>
  <c r="D86"/>
  <c r="E86"/>
  <c r="C150" l="1"/>
  <c r="C152" s="1"/>
  <c r="E33" i="2"/>
  <c r="F33" s="1"/>
  <c r="G103" i="1"/>
  <c r="H103" s="1"/>
  <c r="G102"/>
  <c r="H102" s="1"/>
  <c r="G99"/>
  <c r="H99" s="1"/>
  <c r="G104"/>
  <c r="H104" s="1"/>
  <c r="G100"/>
  <c r="G98"/>
  <c r="H98" s="1"/>
  <c r="G97"/>
  <c r="C111"/>
  <c r="D108"/>
  <c r="D147"/>
  <c r="E147"/>
  <c r="B133"/>
  <c r="B134"/>
  <c r="B135"/>
  <c r="H97"/>
  <c r="H100"/>
  <c r="H50"/>
  <c r="G50"/>
  <c r="G53"/>
  <c r="H53" s="1"/>
  <c r="G56"/>
  <c r="H56" s="1"/>
  <c r="G52"/>
  <c r="H52" s="1"/>
  <c r="E45"/>
  <c r="G57"/>
  <c r="H57" s="1"/>
  <c r="D45"/>
  <c r="G54"/>
  <c r="H54" s="1"/>
  <c r="G60"/>
  <c r="H60" s="1"/>
  <c r="G59"/>
  <c r="H59" s="1"/>
  <c r="G49"/>
  <c r="H49" s="1"/>
  <c r="G51"/>
  <c r="H51" s="1"/>
  <c r="G47"/>
  <c r="H47" s="1"/>
  <c r="G45"/>
  <c r="G58"/>
  <c r="H58" s="1"/>
  <c r="D84"/>
  <c r="E84"/>
  <c r="G84"/>
  <c r="H84" s="1"/>
  <c r="G89"/>
  <c r="H89" s="1"/>
  <c r="G95"/>
  <c r="H95" s="1"/>
  <c r="G91"/>
  <c r="H91" s="1"/>
  <c r="G92"/>
  <c r="H92" s="1"/>
  <c r="G90"/>
  <c r="H90" s="1"/>
  <c r="G93"/>
  <c r="H93" s="1"/>
  <c r="G88"/>
  <c r="H88" s="1"/>
  <c r="C116" l="1"/>
  <c r="D111"/>
  <c r="C112"/>
  <c r="D116" l="1"/>
  <c r="C133"/>
  <c r="D133" s="1"/>
  <c r="C134"/>
  <c r="D134" s="1"/>
  <c r="C135"/>
  <c r="D135" s="1"/>
  <c r="C117"/>
  <c r="D117" s="1"/>
  <c r="D112"/>
</calcChain>
</file>

<file path=xl/sharedStrings.xml><?xml version="1.0" encoding="utf-8"?>
<sst xmlns="http://schemas.openxmlformats.org/spreadsheetml/2006/main" count="233" uniqueCount="190">
  <si>
    <t>АКТИВ</t>
  </si>
  <si>
    <t>I. ВНЕОБОРОТНЫЕ АКТИВЫ</t>
  </si>
  <si>
    <t>Нематериальные активы</t>
  </si>
  <si>
    <t>Основные средства</t>
  </si>
  <si>
    <t>Финансовые вложения</t>
  </si>
  <si>
    <t>Отложенные налоговые активы</t>
  </si>
  <si>
    <t>Прочие внеоборотные активы</t>
  </si>
  <si>
    <t>Итого по разделу I</t>
  </si>
  <si>
    <t>II. ОБОРОТНЫЕ АКТИВЫ</t>
  </si>
  <si>
    <t>Запасы</t>
  </si>
  <si>
    <t>Дебиторская задолженность</t>
  </si>
  <si>
    <t>долгосрочная</t>
  </si>
  <si>
    <t>краткосрочная</t>
  </si>
  <si>
    <t>Денежные средства</t>
  </si>
  <si>
    <t>Прочие оборотные активы</t>
  </si>
  <si>
    <t>Итого по разделу II</t>
  </si>
  <si>
    <t>БАЛАНС</t>
  </si>
  <si>
    <t>ПАССИВ</t>
  </si>
  <si>
    <t>III. КАПИТАЛ И РЕЗЕРВЫ</t>
  </si>
  <si>
    <t>Уставный капитал</t>
  </si>
  <si>
    <t>Переоценка внеоборотных активов</t>
  </si>
  <si>
    <t>Добавочный капитал</t>
  </si>
  <si>
    <t>Резервный капитал</t>
  </si>
  <si>
    <t>Нераспределенная прибыль</t>
  </si>
  <si>
    <t>Итого по разделу III</t>
  </si>
  <si>
    <t>IV. ДОЛГОСРОЧНЫЕ ОБЯЗАТЕЛЬСТВА</t>
  </si>
  <si>
    <t>Заемные средства</t>
  </si>
  <si>
    <t>Отложенные налоговые обязательства</t>
  </si>
  <si>
    <t>Кредиторская задолженность</t>
  </si>
  <si>
    <t>Итого по разделу IV</t>
  </si>
  <si>
    <t>V. КРАТКОСРОЧНИЕ ОБЯЗАТЕЛЬСТВА</t>
  </si>
  <si>
    <t>Оценочные обязательства</t>
  </si>
  <si>
    <t>Итого по разделу V</t>
  </si>
  <si>
    <t>Наименование показателя</t>
  </si>
  <si>
    <t>Выручка</t>
  </si>
  <si>
    <t>Себестоимость продаж</t>
  </si>
  <si>
    <t>Валовая прибыль (убыток)</t>
  </si>
  <si>
    <t>Коммерческие расходы</t>
  </si>
  <si>
    <t>Управленческие расходы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</si>
  <si>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</si>
  <si>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</si>
  <si>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</si>
  <si>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</si>
  <si>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</si>
  <si>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</si>
  <si>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до налогообложения</t>
  </si>
  <si>
    <t>Налог на прибыль</t>
  </si>
  <si>
    <t>Чистая прибыль (убыток)</t>
  </si>
  <si>
    <t>Таблица 4.1 – Состав, динамика и структура имущества предприятия</t>
  </si>
  <si>
    <t>Показатели</t>
  </si>
  <si>
    <t>Имущество, всего</t>
  </si>
  <si>
    <t>в том числе</t>
  </si>
  <si>
    <t>Внеоборотные активы, всего</t>
  </si>
  <si>
    <t>из них</t>
  </si>
  <si>
    <t>Сумма, тыс. руб.</t>
  </si>
  <si>
    <t>на начало года</t>
  </si>
  <si>
    <t>на конец года</t>
  </si>
  <si>
    <t>изменение</t>
  </si>
  <si>
    <t>Темп роста</t>
  </si>
  <si>
    <t>Удельный вес</t>
  </si>
  <si>
    <t>Оборотные активы, всего</t>
  </si>
  <si>
    <t>НДС по приобретенным ценностям</t>
  </si>
  <si>
    <t>Источники средств предприятия, всего</t>
  </si>
  <si>
    <t>Собственный капитал, всего</t>
  </si>
  <si>
    <t>из него</t>
  </si>
  <si>
    <t>Заемный капитал, всего</t>
  </si>
  <si>
    <t>Краткосрочные обязательства</t>
  </si>
  <si>
    <t>Долгосрочные обязательства</t>
  </si>
  <si>
    <t>Источники собственных средств (капитал и резервы)</t>
  </si>
  <si>
    <t>Внеоборотные активы</t>
  </si>
  <si>
    <t>Собственные оборотные средства а)</t>
  </si>
  <si>
    <t>Собственные оборотные средства б)</t>
  </si>
  <si>
    <t>– уставный капитал</t>
  </si>
  <si>
    <t>– добавочный капитал</t>
  </si>
  <si>
    <t xml:space="preserve">– нераспределенная прибыль </t>
  </si>
  <si>
    <t>Сумма влияния факторов</t>
  </si>
  <si>
    <t>Оборотные активы</t>
  </si>
  <si>
    <t>Факторы, влияющие на изменение собственных оборотных средств:</t>
  </si>
  <si>
    <t>– резервный капитал</t>
  </si>
  <si>
    <t>Коэффициент обеспеченности собственными оборотными средствами (Ко)</t>
  </si>
  <si>
    <t>Коэффициент маневренности (Км)</t>
  </si>
  <si>
    <t>Коэффициент автономии (Ка) или коэффициент финансовой независимости</t>
  </si>
  <si>
    <t>Коэффициент обеспеченности запасами и затратами за счет собственных оборотных средств (Ко)</t>
  </si>
  <si>
    <t>абс</t>
  </si>
  <si>
    <t>отн</t>
  </si>
  <si>
    <t>Быстрореализуемые активы</t>
  </si>
  <si>
    <t>Активы средней реализации</t>
  </si>
  <si>
    <t>Итого активов быстрой и средней реализации</t>
  </si>
  <si>
    <t>Медленно реализуемые активы</t>
  </si>
  <si>
    <t>Итого ликвидных активов</t>
  </si>
  <si>
    <t>Краткосрочные долговые обязательства</t>
  </si>
  <si>
    <t>Коэффициент общей (промежуточной)
ликвидности</t>
  </si>
  <si>
    <t>Коэффициент абсолютной (быстрой) ликвидности</t>
  </si>
  <si>
    <t>Коэффициент покрытия (текущей ликвидности)</t>
  </si>
  <si>
    <t>на начало периода</t>
  </si>
  <si>
    <t>на момент установления неплатежеспособности</t>
  </si>
  <si>
    <t>норматив</t>
  </si>
  <si>
    <t>Возможное решение (оценка)</t>
  </si>
  <si>
    <t>Коэффициент текущей ликвидности (К1)</t>
  </si>
  <si>
    <t>&gt; 1</t>
  </si>
  <si>
    <t>&gt; 2</t>
  </si>
  <si>
    <t>выше нормы +</t>
  </si>
  <si>
    <t>&gt; 0,1</t>
  </si>
  <si>
    <t>ниже нормы -</t>
  </si>
  <si>
    <t>не утратит</t>
  </si>
  <si>
    <t>Коэффициент обеспеченности собственными средствами (К2)</t>
  </si>
  <si>
    <t>Коэффициент восстановления платежеспособности (К3/в)</t>
  </si>
  <si>
    <t>Расчет</t>
  </si>
  <si>
    <t>Отчетный год</t>
  </si>
  <si>
    <t>на начало</t>
  </si>
  <si>
    <t>на конец</t>
  </si>
  <si>
    <t>1. Выручка (нетто) от продажи товаров,
продукции, работ, услуг, тыс. руб.</t>
  </si>
  <si>
    <t>2. Число дней в рассматриваемом периоде</t>
  </si>
  <si>
    <t>3. Однодневный оборот по продажам,
тыс. руб.</t>
  </si>
  <si>
    <t>4. Среднегодовая стоимость оборотных
активов, тыс. руб.</t>
  </si>
  <si>
    <t>5. Продолжительность одного оборота
оборотных средств в днях</t>
  </si>
  <si>
    <t>6. Коэффициент оборачиваемости оборотных средств</t>
  </si>
  <si>
    <t>7. Коэффициент закрепления оборотных средств</t>
  </si>
  <si>
    <t>8. Сумма высвобожденных (–) или дополнительно вовлеченных (+) всех оборотных средств по сравнению с предыдущим годом, тыс. руб.</t>
  </si>
  <si>
    <t>ВП</t>
  </si>
  <si>
    <t>Д</t>
  </si>
  <si>
    <t>ВП/Д</t>
  </si>
  <si>
    <t>ОАср</t>
  </si>
  <si>
    <t>Доб</t>
  </si>
  <si>
    <t>Коб</t>
  </si>
  <si>
    <t>Кз</t>
  </si>
  <si>
    <t>∆ОАср</t>
  </si>
  <si>
    <t>ОАср* Д / ВП</t>
  </si>
  <si>
    <t>ВП/ОАср</t>
  </si>
  <si>
    <t>(Доб1 – Доб0) × ВП1/Д</t>
  </si>
  <si>
    <t>(ОАн.г + ОАк.г.)/2</t>
  </si>
  <si>
    <t>ОАср/ВП</t>
  </si>
  <si>
    <t>Рекомендуемое значение</t>
  </si>
  <si>
    <t>На начало</t>
  </si>
  <si>
    <t>На конец</t>
  </si>
  <si>
    <t>Изменение</t>
  </si>
  <si>
    <t>1. Коэффициенты ликвидности:</t>
  </si>
  <si>
    <t>а) абсолютной</t>
  </si>
  <si>
    <t>б) общей (промежуточной)</t>
  </si>
  <si>
    <t>в) покрытия (текущей)</t>
  </si>
  <si>
    <t>Кл.а</t>
  </si>
  <si>
    <t>Кл.о.</t>
  </si>
  <si>
    <t>Кл.т</t>
  </si>
  <si>
    <t>&gt; 0,2-0,5</t>
  </si>
  <si>
    <t>&gt;0,7-0,8</t>
  </si>
  <si>
    <t>&gt;2-2,5</t>
  </si>
  <si>
    <t>2. Коэффициенты финансовой устойчивости:</t>
  </si>
  <si>
    <t>а) коэффициент автономии (финансовой
независимости)</t>
  </si>
  <si>
    <t>б) коэффициент соотношения заемных и собственных средств (финансовой устойчивости)</t>
  </si>
  <si>
    <t>в) коэффициент маневренности</t>
  </si>
  <si>
    <t>г) коэффициент обеспеченности собственными оборотными средствами</t>
  </si>
  <si>
    <t>д) коэффициент реальных активов в имуществе предприятия</t>
  </si>
  <si>
    <t>3. Коэффициент соотношения основных и оборотных средств</t>
  </si>
  <si>
    <t>4. Коэффициент соотношения дебиторской и кредиторской задолженности</t>
  </si>
  <si>
    <t>Усл. обоз.</t>
  </si>
  <si>
    <t>Ка</t>
  </si>
  <si>
    <t>Кз/с.ср</t>
  </si>
  <si>
    <t>Км</t>
  </si>
  <si>
    <t>Ко.ос</t>
  </si>
  <si>
    <t>Кр.а</t>
  </si>
  <si>
    <t>Ко/об.ср.</t>
  </si>
  <si>
    <t>Кдеб./кред.зад</t>
  </si>
  <si>
    <t>&gt;0,5</t>
  </si>
  <si>
    <t>&lt;1</t>
  </si>
  <si>
    <t>Предыдущий период</t>
  </si>
  <si>
    <t>сумма, тыс. руб.</t>
  </si>
  <si>
    <t>Отчетный период</t>
  </si>
  <si>
    <t>уд. вес.</t>
  </si>
  <si>
    <t>абс.</t>
  </si>
  <si>
    <t>относит.</t>
  </si>
  <si>
    <t>Прибыль (убыток) всего,</t>
  </si>
  <si>
    <t>Прочие операционные доходы</t>
  </si>
  <si>
    <t>Прочие операционные расходы</t>
  </si>
  <si>
    <t>Выручка от продажи товаров, продукции, работ, услуг</t>
  </si>
  <si>
    <t>Себестоимость проданных товаров, продукции, работ, услуг</t>
  </si>
  <si>
    <t>Рентабельность затрат (R3)</t>
  </si>
  <si>
    <t>Рентабельность продаж (по прибыли от продаж) (Rпр)</t>
  </si>
  <si>
    <t>Рентабельность продаж (по чистой прибыли) (Rч.пр)</t>
  </si>
  <si>
    <t>(Ппр/Спр)*100</t>
  </si>
  <si>
    <t>(Ппр/Впр) *100</t>
  </si>
  <si>
    <t>(Пч/Впр) *100</t>
  </si>
  <si>
    <t>Рентабельность всего имущества (Rим)</t>
  </si>
  <si>
    <t>Рентабельность основной деятельности (Rод)</t>
  </si>
  <si>
    <t>Рентабельность собственного капитала (Rкр)</t>
  </si>
  <si>
    <t>(Пч/Иср) * 100</t>
  </si>
  <si>
    <t>(Под/ Фод )* 100</t>
  </si>
  <si>
    <t>(Пч/КР) * 100</t>
  </si>
  <si>
    <t>доля реального имущества</t>
  </si>
  <si>
    <t xml:space="preserve">Влияние изменения объема продаж на прибыль (ΔПпр1) </t>
  </si>
  <si>
    <t xml:space="preserve">Влияние изменения уровня себестоимости на прибыль (ΔПпр2) </t>
  </si>
</sst>
</file>

<file path=xl/styles.xml><?xml version="1.0" encoding="utf-8"?>
<styleSheet xmlns="http://schemas.openxmlformats.org/spreadsheetml/2006/main">
  <numFmts count="2">
    <numFmt numFmtId="170" formatCode="0.000"/>
    <numFmt numFmtId="171" formatCode="0.0"/>
  </numFmts>
  <fonts count="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7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0" fontId="1" fillId="0" borderId="1" xfId="0" applyNumberFormat="1" applyFont="1" applyBorder="1" applyAlignment="1">
      <alignment horizontal="center"/>
    </xf>
    <xf numFmtId="17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70" fontId="1" fillId="0" borderId="0" xfId="0" applyNumberFormat="1" applyFont="1" applyBorder="1"/>
    <xf numFmtId="1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N374"/>
  <sheetViews>
    <sheetView topLeftCell="A138" workbookViewId="0">
      <selection activeCell="B147" sqref="B147:E147"/>
    </sheetView>
  </sheetViews>
  <sheetFormatPr defaultRowHeight="15"/>
  <cols>
    <col min="1" max="1" width="45" customWidth="1"/>
    <col min="3" max="3" width="9.140625" customWidth="1"/>
    <col min="4" max="4" width="10" customWidth="1"/>
    <col min="5" max="5" width="12.42578125" customWidth="1"/>
    <col min="8" max="8" width="9.85546875" customWidth="1"/>
  </cols>
  <sheetData>
    <row r="2" spans="1:11">
      <c r="A2" s="1" t="s">
        <v>0</v>
      </c>
      <c r="B2" s="1">
        <v>2019</v>
      </c>
      <c r="C2" s="1">
        <v>2020</v>
      </c>
      <c r="D2" s="1">
        <v>2021</v>
      </c>
      <c r="E2" s="2">
        <v>2022</v>
      </c>
    </row>
    <row r="3" spans="1:11">
      <c r="A3" s="3" t="s">
        <v>1</v>
      </c>
      <c r="B3" s="1"/>
      <c r="C3" s="1"/>
      <c r="D3" s="1"/>
      <c r="E3" s="4"/>
    </row>
    <row r="4" spans="1:11">
      <c r="A4" s="5" t="s">
        <v>2</v>
      </c>
      <c r="B4" s="1">
        <v>42</v>
      </c>
      <c r="C4" s="1">
        <v>33</v>
      </c>
      <c r="D4" s="1">
        <v>775</v>
      </c>
      <c r="E4" s="4">
        <v>608</v>
      </c>
    </row>
    <row r="5" spans="1:11">
      <c r="A5" s="5" t="s">
        <v>3</v>
      </c>
      <c r="B5" s="1">
        <v>3931236</v>
      </c>
      <c r="C5" s="1">
        <v>5332173</v>
      </c>
      <c r="D5" s="1">
        <v>5867604</v>
      </c>
      <c r="E5" s="4">
        <v>6306738</v>
      </c>
    </row>
    <row r="6" spans="1:11">
      <c r="A6" s="5" t="s">
        <v>4</v>
      </c>
      <c r="B6" s="1">
        <v>36</v>
      </c>
      <c r="C6" s="1">
        <v>36</v>
      </c>
      <c r="D6" s="1">
        <v>36</v>
      </c>
      <c r="E6" s="4">
        <v>36</v>
      </c>
    </row>
    <row r="7" spans="1:11">
      <c r="A7" s="5" t="s">
        <v>5</v>
      </c>
      <c r="B7" s="1">
        <v>70040</v>
      </c>
      <c r="C7" s="1">
        <v>51468</v>
      </c>
      <c r="D7" s="1">
        <v>64697</v>
      </c>
      <c r="E7" s="4">
        <v>107534</v>
      </c>
    </row>
    <row r="8" spans="1:11">
      <c r="A8" s="5" t="s">
        <v>6</v>
      </c>
      <c r="B8" s="1">
        <v>410989</v>
      </c>
      <c r="C8" s="1">
        <v>25552</v>
      </c>
      <c r="D8" s="1">
        <v>737857</v>
      </c>
      <c r="E8" s="4">
        <v>1062677</v>
      </c>
    </row>
    <row r="9" spans="1:11">
      <c r="A9" s="3" t="s">
        <v>7</v>
      </c>
      <c r="B9" s="6">
        <f>SUM(B4:B8)</f>
        <v>4412343</v>
      </c>
      <c r="C9" s="6">
        <f>SUM(C4:C8)</f>
        <v>5409262</v>
      </c>
      <c r="D9" s="6">
        <f>SUM(D4:D8)</f>
        <v>6670969</v>
      </c>
      <c r="E9" s="6">
        <f>SUM(E4:E8)</f>
        <v>7477593</v>
      </c>
      <c r="G9" s="29" t="s">
        <v>187</v>
      </c>
      <c r="H9" s="29"/>
      <c r="I9">
        <f>(C4+C5+C11)/C20</f>
        <v>0.69166322912552924</v>
      </c>
      <c r="J9">
        <f t="shared" ref="J9:K9" si="0">(D4+D5+D11)/D20</f>
        <v>0.63452319750638697</v>
      </c>
      <c r="K9">
        <f t="shared" si="0"/>
        <v>0.58035043661822383</v>
      </c>
    </row>
    <row r="10" spans="1:11">
      <c r="A10" s="3" t="s">
        <v>8</v>
      </c>
      <c r="B10" s="1"/>
      <c r="C10" s="1"/>
      <c r="D10" s="1"/>
      <c r="E10" s="4"/>
    </row>
    <row r="11" spans="1:11">
      <c r="A11" s="5" t="s">
        <v>9</v>
      </c>
      <c r="B11" s="1">
        <v>916513</v>
      </c>
      <c r="C11" s="1">
        <v>1118210</v>
      </c>
      <c r="D11" s="1">
        <v>1249562</v>
      </c>
      <c r="E11" s="4">
        <v>1366026</v>
      </c>
    </row>
    <row r="12" spans="1:11">
      <c r="A12" s="7" t="s">
        <v>61</v>
      </c>
      <c r="B12" s="1">
        <v>86839</v>
      </c>
      <c r="C12" s="1">
        <v>45629</v>
      </c>
      <c r="D12" s="1">
        <v>11599</v>
      </c>
      <c r="E12" s="1">
        <v>42385</v>
      </c>
    </row>
    <row r="13" spans="1:11">
      <c r="A13" s="5" t="s">
        <v>10</v>
      </c>
      <c r="B13" s="1">
        <f>SUM(B14:B15)</f>
        <v>1578168</v>
      </c>
      <c r="C13" s="1">
        <f>SUM(C14:C15)</f>
        <v>1769180</v>
      </c>
      <c r="D13" s="1">
        <f>SUM(D14:D15)</f>
        <v>1357460</v>
      </c>
      <c r="E13" s="1">
        <f>SUM(E14:E15)</f>
        <v>1677691</v>
      </c>
    </row>
    <row r="14" spans="1:11">
      <c r="A14" s="5" t="s">
        <v>11</v>
      </c>
      <c r="B14" s="1"/>
      <c r="C14" s="1"/>
      <c r="D14" s="1"/>
      <c r="E14" s="4"/>
    </row>
    <row r="15" spans="1:11">
      <c r="A15" s="5" t="s">
        <v>12</v>
      </c>
      <c r="B15" s="1">
        <v>1578168</v>
      </c>
      <c r="C15" s="1">
        <v>1769180</v>
      </c>
      <c r="D15" s="1">
        <v>1357460</v>
      </c>
      <c r="E15" s="4">
        <v>1677691</v>
      </c>
    </row>
    <row r="16" spans="1:11">
      <c r="A16" s="5" t="s">
        <v>4</v>
      </c>
      <c r="B16" s="1">
        <v>0</v>
      </c>
      <c r="C16" s="1">
        <v>0</v>
      </c>
      <c r="D16" s="1">
        <v>111</v>
      </c>
      <c r="E16" s="4">
        <v>0</v>
      </c>
    </row>
    <row r="17" spans="1:40">
      <c r="A17" s="5" t="s">
        <v>13</v>
      </c>
      <c r="B17" s="1">
        <v>441801</v>
      </c>
      <c r="C17" s="1">
        <v>983668</v>
      </c>
      <c r="D17" s="1">
        <v>1928078</v>
      </c>
      <c r="E17" s="4">
        <v>2658268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1:40">
      <c r="A18" s="5" t="s">
        <v>14</v>
      </c>
      <c r="B18" s="1">
        <v>182</v>
      </c>
      <c r="C18" s="1">
        <v>0</v>
      </c>
      <c r="D18" s="1">
        <v>0</v>
      </c>
      <c r="E18" s="4"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 spans="1:40">
      <c r="A19" s="3" t="s">
        <v>15</v>
      </c>
      <c r="B19" s="6">
        <f>B11+B12+B13+B16+B17+B18</f>
        <v>3023503</v>
      </c>
      <c r="C19" s="6">
        <f>C11+C12+C13+C16+C17+C18</f>
        <v>3916687</v>
      </c>
      <c r="D19" s="6">
        <f>D11+D12+D13+D16+D17+D18</f>
        <v>4546810</v>
      </c>
      <c r="E19" s="6">
        <f>E11+E12+E13+E16+E17+E18</f>
        <v>5744370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>
      <c r="A20" s="3" t="s">
        <v>16</v>
      </c>
      <c r="B20" s="6">
        <f>B9+B19</f>
        <v>7435846</v>
      </c>
      <c r="C20" s="6">
        <f>C9+C19</f>
        <v>9325949</v>
      </c>
      <c r="D20" s="6">
        <f>D9+D19</f>
        <v>11217779</v>
      </c>
      <c r="E20" s="6">
        <f>E9+E19</f>
        <v>13221963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1:40">
      <c r="A21" s="1" t="s">
        <v>17</v>
      </c>
      <c r="B21" s="1"/>
      <c r="C21" s="1"/>
      <c r="D21" s="1"/>
      <c r="E21" s="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>
      <c r="A22" s="3" t="s">
        <v>18</v>
      </c>
      <c r="B22" s="1"/>
      <c r="C22" s="1"/>
      <c r="D22" s="1"/>
      <c r="E22" s="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1:40">
      <c r="A23" s="5" t="s">
        <v>19</v>
      </c>
      <c r="B23" s="1">
        <v>1121839</v>
      </c>
      <c r="C23" s="1">
        <f>B23</f>
        <v>1121839</v>
      </c>
      <c r="D23" s="1">
        <f>C23</f>
        <v>1121839</v>
      </c>
      <c r="E23" s="4">
        <f>D23</f>
        <v>1121839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>
      <c r="A24" s="5" t="s">
        <v>20</v>
      </c>
      <c r="B24" s="1">
        <v>1568288</v>
      </c>
      <c r="C24" s="1">
        <v>1563612</v>
      </c>
      <c r="D24" s="1">
        <v>1526240</v>
      </c>
      <c r="E24" s="4">
        <v>1507650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>
      <c r="A25" s="5" t="s">
        <v>21</v>
      </c>
      <c r="B25" s="1">
        <v>68366</v>
      </c>
      <c r="C25" s="1">
        <f>B25</f>
        <v>68366</v>
      </c>
      <c r="D25" s="1">
        <f t="shared" ref="D25:E26" si="1">C25</f>
        <v>68366</v>
      </c>
      <c r="E25" s="4">
        <f t="shared" si="1"/>
        <v>68366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>
      <c r="A26" s="5" t="s">
        <v>22</v>
      </c>
      <c r="B26" s="1">
        <v>168276</v>
      </c>
      <c r="C26" s="1">
        <f>B26</f>
        <v>168276</v>
      </c>
      <c r="D26" s="1">
        <f t="shared" si="1"/>
        <v>168276</v>
      </c>
      <c r="E26" s="4">
        <f t="shared" si="1"/>
        <v>168276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>
      <c r="A27" s="5" t="s">
        <v>23</v>
      </c>
      <c r="B27" s="1">
        <v>1510218</v>
      </c>
      <c r="C27" s="1">
        <v>1910938</v>
      </c>
      <c r="D27" s="1">
        <v>3226539</v>
      </c>
      <c r="E27" s="4">
        <v>4967643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>
      <c r="A28" s="3" t="s">
        <v>24</v>
      </c>
      <c r="B28" s="6">
        <f>SUM(B23:B27)</f>
        <v>4436987</v>
      </c>
      <c r="C28" s="6">
        <f>SUM(C23:C27)</f>
        <v>4833031</v>
      </c>
      <c r="D28" s="6">
        <f>SUM(D23:D27)</f>
        <v>6111260</v>
      </c>
      <c r="E28" s="6">
        <f>SUM(E23:E27)</f>
        <v>7833774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>
      <c r="A29" s="3" t="s">
        <v>25</v>
      </c>
      <c r="B29" s="1"/>
      <c r="C29" s="1"/>
      <c r="D29" s="1"/>
      <c r="E29" s="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>
      <c r="A30" s="5" t="s">
        <v>26</v>
      </c>
      <c r="B30" s="1">
        <v>597356</v>
      </c>
      <c r="C30" s="1">
        <v>1020597</v>
      </c>
      <c r="D30" s="1">
        <v>1107899</v>
      </c>
      <c r="E30" s="4">
        <v>2152431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>
      <c r="A31" s="5" t="s">
        <v>27</v>
      </c>
      <c r="B31" s="1">
        <v>393440</v>
      </c>
      <c r="C31" s="1">
        <v>512139</v>
      </c>
      <c r="D31" s="1">
        <v>661918</v>
      </c>
      <c r="E31" s="4">
        <v>725126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>
      <c r="A32" s="5" t="s">
        <v>28</v>
      </c>
      <c r="B32" s="1">
        <v>478525</v>
      </c>
      <c r="C32" s="1">
        <v>756341</v>
      </c>
      <c r="D32" s="1">
        <v>512539</v>
      </c>
      <c r="E32" s="4">
        <v>309261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</row>
    <row r="33" spans="1:40">
      <c r="A33" s="3" t="s">
        <v>29</v>
      </c>
      <c r="B33" s="6">
        <f>SUM(B30:B32)</f>
        <v>1469321</v>
      </c>
      <c r="C33" s="6">
        <f>SUM(C30:C32)</f>
        <v>2289077</v>
      </c>
      <c r="D33" s="6">
        <f>SUM(D30:D32)</f>
        <v>2282356</v>
      </c>
      <c r="E33" s="6">
        <f>SUM(E30:E32)</f>
        <v>3186818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</row>
    <row r="34" spans="1:40">
      <c r="A34" s="3" t="s">
        <v>30</v>
      </c>
      <c r="B34" s="1"/>
      <c r="C34" s="1"/>
      <c r="D34" s="1"/>
      <c r="E34" s="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</row>
    <row r="35" spans="1:40">
      <c r="A35" s="5" t="s">
        <v>26</v>
      </c>
      <c r="B35" s="1">
        <v>376514</v>
      </c>
      <c r="C35" s="1">
        <v>626165</v>
      </c>
      <c r="D35" s="1">
        <v>481788</v>
      </c>
      <c r="E35" s="4">
        <v>855264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</row>
    <row r="36" spans="1:40">
      <c r="A36" s="5" t="s">
        <v>28</v>
      </c>
      <c r="B36" s="1">
        <v>1022613</v>
      </c>
      <c r="C36" s="1">
        <v>1447810</v>
      </c>
      <c r="D36" s="1">
        <v>2167090</v>
      </c>
      <c r="E36" s="4">
        <v>1133012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1:40">
      <c r="A37" s="5" t="s">
        <v>31</v>
      </c>
      <c r="B37" s="1">
        <v>130411</v>
      </c>
      <c r="C37" s="1">
        <v>129866</v>
      </c>
      <c r="D37" s="1">
        <v>175285</v>
      </c>
      <c r="E37" s="4">
        <v>213095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1:40">
      <c r="A38" s="3" t="s">
        <v>32</v>
      </c>
      <c r="B38" s="6">
        <f>SUM(B35:B37)</f>
        <v>1529538</v>
      </c>
      <c r="C38" s="6">
        <f>SUM(C35:C37)</f>
        <v>2203841</v>
      </c>
      <c r="D38" s="6">
        <f>SUM(D35:D37)</f>
        <v>2824163</v>
      </c>
      <c r="E38" s="6">
        <f>SUM(E35:E37)</f>
        <v>2201371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  <row r="39" spans="1:40">
      <c r="A39" s="3" t="s">
        <v>16</v>
      </c>
      <c r="B39" s="6">
        <f>B28+B33+B38</f>
        <v>7435846</v>
      </c>
      <c r="C39" s="6">
        <f>C28+C33+C38</f>
        <v>9325949</v>
      </c>
      <c r="D39" s="6">
        <f>D28+D33+D38</f>
        <v>11217779</v>
      </c>
      <c r="E39" s="6">
        <f>E28+E33+E38</f>
        <v>13221963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spans="1:40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</row>
    <row r="41" spans="1:40">
      <c r="A41" s="15" t="s">
        <v>48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spans="1:40">
      <c r="A42" s="14"/>
      <c r="B42" s="14"/>
      <c r="C42" s="14"/>
      <c r="D42" s="14"/>
      <c r="E42" s="14"/>
      <c r="F42" s="16"/>
      <c r="G42" s="16"/>
      <c r="H42" s="16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spans="1:40">
      <c r="A43" s="17" t="s">
        <v>49</v>
      </c>
      <c r="B43" s="17" t="s">
        <v>54</v>
      </c>
      <c r="C43" s="17"/>
      <c r="D43" s="17"/>
      <c r="E43" s="17" t="s">
        <v>58</v>
      </c>
      <c r="F43" s="17" t="s">
        <v>59</v>
      </c>
      <c r="G43" s="17"/>
      <c r="H43" s="17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1:40" ht="25.5">
      <c r="A44" s="17"/>
      <c r="B44" s="18" t="s">
        <v>55</v>
      </c>
      <c r="C44" s="18" t="s">
        <v>56</v>
      </c>
      <c r="D44" s="18" t="s">
        <v>57</v>
      </c>
      <c r="E44" s="17"/>
      <c r="F44" s="18" t="str">
        <f>B44</f>
        <v>на начало года</v>
      </c>
      <c r="G44" s="18" t="str">
        <f t="shared" ref="G44:H44" si="2">C44</f>
        <v>на конец года</v>
      </c>
      <c r="H44" s="18" t="str">
        <f t="shared" si="2"/>
        <v>изменение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spans="1:40">
      <c r="A45" s="20" t="s">
        <v>50</v>
      </c>
      <c r="B45" s="21">
        <f>D39</f>
        <v>11217779</v>
      </c>
      <c r="C45" s="21">
        <f>E39</f>
        <v>13221963</v>
      </c>
      <c r="D45" s="21">
        <f>C45-B45</f>
        <v>2004184</v>
      </c>
      <c r="E45" s="22">
        <f>C45/B45*100</f>
        <v>117.86613909937074</v>
      </c>
      <c r="F45" s="21">
        <f>B45/$B$45*100</f>
        <v>100</v>
      </c>
      <c r="G45" s="21">
        <f>C45/$C$45*100</f>
        <v>100</v>
      </c>
      <c r="H45" s="21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spans="1:40">
      <c r="A46" s="7" t="s">
        <v>51</v>
      </c>
      <c r="B46" s="18"/>
      <c r="C46" s="18"/>
      <c r="D46" s="18"/>
      <c r="E46" s="19"/>
      <c r="F46" s="18"/>
      <c r="G46" s="18"/>
      <c r="H46" s="18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spans="1:40">
      <c r="A47" s="20" t="s">
        <v>52</v>
      </c>
      <c r="B47" s="21">
        <f>D9</f>
        <v>6670969</v>
      </c>
      <c r="C47" s="21">
        <f>E9</f>
        <v>7477593</v>
      </c>
      <c r="D47" s="21">
        <f t="shared" ref="D47:D60" si="3">C47-B47</f>
        <v>806624</v>
      </c>
      <c r="E47" s="22">
        <f t="shared" ref="E47:E60" si="4">C47/B47*100</f>
        <v>112.0915567138747</v>
      </c>
      <c r="F47" s="22">
        <f t="shared" ref="F47:F60" si="5">B47/$B$45*100</f>
        <v>59.467823354337789</v>
      </c>
      <c r="G47" s="22">
        <f t="shared" ref="G47:G60" si="6">C47/$C$45*100</f>
        <v>56.554333119824953</v>
      </c>
      <c r="H47" s="22">
        <f t="shared" ref="H47:H60" si="7">G47-F47</f>
        <v>-2.9134902345128353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</row>
    <row r="48" spans="1:40">
      <c r="A48" s="5" t="s">
        <v>53</v>
      </c>
      <c r="B48" s="4"/>
      <c r="C48" s="4"/>
      <c r="D48" s="18"/>
      <c r="E48" s="19"/>
      <c r="F48" s="19"/>
      <c r="G48" s="19"/>
      <c r="H48" s="19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spans="1:40">
      <c r="A49" s="5" t="str">
        <f>A4</f>
        <v>Нематериальные активы</v>
      </c>
      <c r="B49" s="4">
        <f>D4</f>
        <v>775</v>
      </c>
      <c r="C49" s="4">
        <f>E4</f>
        <v>608</v>
      </c>
      <c r="D49" s="18">
        <f t="shared" si="3"/>
        <v>-167</v>
      </c>
      <c r="E49" s="19">
        <f t="shared" si="4"/>
        <v>78.451612903225808</v>
      </c>
      <c r="F49" s="19">
        <f t="shared" si="5"/>
        <v>6.9086759509168448E-3</v>
      </c>
      <c r="G49" s="19">
        <f t="shared" si="6"/>
        <v>4.5984094797421535E-3</v>
      </c>
      <c r="H49" s="19">
        <f t="shared" si="7"/>
        <v>-2.3102664711746913E-3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</row>
    <row r="50" spans="1:40">
      <c r="A50" s="5" t="str">
        <f t="shared" ref="A50:A52" si="8">A5</f>
        <v>Основные средства</v>
      </c>
      <c r="B50" s="4">
        <f t="shared" ref="B50:B53" si="9">D5</f>
        <v>5867604</v>
      </c>
      <c r="C50" s="4">
        <f t="shared" ref="C50:C53" si="10">E5</f>
        <v>6306738</v>
      </c>
      <c r="D50" s="18">
        <f t="shared" si="3"/>
        <v>439134</v>
      </c>
      <c r="E50" s="19">
        <f t="shared" si="4"/>
        <v>107.48404289042001</v>
      </c>
      <c r="F50" s="19">
        <f t="shared" si="5"/>
        <v>52.30628986361738</v>
      </c>
      <c r="G50" s="19">
        <f t="shared" si="6"/>
        <v>47.698953627384981</v>
      </c>
      <c r="H50" s="19">
        <f t="shared" si="7"/>
        <v>-4.6073362362323991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</row>
    <row r="51" spans="1:40">
      <c r="A51" s="5" t="str">
        <f t="shared" si="8"/>
        <v>Финансовые вложения</v>
      </c>
      <c r="B51" s="4">
        <f t="shared" si="9"/>
        <v>36</v>
      </c>
      <c r="C51" s="4">
        <f t="shared" si="10"/>
        <v>36</v>
      </c>
      <c r="D51" s="18">
        <f t="shared" si="3"/>
        <v>0</v>
      </c>
      <c r="E51" s="19">
        <f t="shared" si="4"/>
        <v>100</v>
      </c>
      <c r="F51" s="19">
        <f t="shared" si="5"/>
        <v>3.2091914094581467E-4</v>
      </c>
      <c r="G51" s="19">
        <f t="shared" si="6"/>
        <v>2.7227424551104853E-4</v>
      </c>
      <c r="H51" s="19">
        <f t="shared" si="7"/>
        <v>-4.8644895434766134E-5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1:40">
      <c r="A52" s="5" t="str">
        <f t="shared" si="8"/>
        <v>Отложенные налоговые активы</v>
      </c>
      <c r="B52" s="4">
        <f t="shared" si="9"/>
        <v>64697</v>
      </c>
      <c r="C52" s="4">
        <f t="shared" si="10"/>
        <v>107534</v>
      </c>
      <c r="D52" s="18">
        <f t="shared" si="3"/>
        <v>42837</v>
      </c>
      <c r="E52" s="19">
        <f t="shared" si="4"/>
        <v>166.21172542776327</v>
      </c>
      <c r="F52" s="19">
        <f t="shared" si="5"/>
        <v>0.57673626838253811</v>
      </c>
      <c r="G52" s="19">
        <f t="shared" si="6"/>
        <v>0.81329829768847484</v>
      </c>
      <c r="H52" s="19">
        <f t="shared" si="7"/>
        <v>0.23656202930593673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</row>
    <row r="53" spans="1:40">
      <c r="A53" s="5" t="str">
        <f>A8</f>
        <v>Прочие внеоборотные активы</v>
      </c>
      <c r="B53" s="4">
        <f t="shared" si="9"/>
        <v>737857</v>
      </c>
      <c r="C53" s="4">
        <f t="shared" si="10"/>
        <v>1062677</v>
      </c>
      <c r="D53" s="18">
        <f t="shared" si="3"/>
        <v>324820</v>
      </c>
      <c r="E53" s="19">
        <f t="shared" si="4"/>
        <v>144.02208015916364</v>
      </c>
      <c r="F53" s="19">
        <f t="shared" si="5"/>
        <v>6.5775676272459993</v>
      </c>
      <c r="G53" s="19">
        <f t="shared" si="6"/>
        <v>8.0372105110262364</v>
      </c>
      <c r="H53" s="19">
        <f t="shared" si="7"/>
        <v>1.4596428837802371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</row>
    <row r="54" spans="1:40">
      <c r="A54" s="3" t="s">
        <v>60</v>
      </c>
      <c r="B54" s="23">
        <f>D19</f>
        <v>4546810</v>
      </c>
      <c r="C54" s="23">
        <f>E19</f>
        <v>5744370</v>
      </c>
      <c r="D54" s="21">
        <f t="shared" si="3"/>
        <v>1197560</v>
      </c>
      <c r="E54" s="22">
        <f t="shared" si="4"/>
        <v>126.33846586947772</v>
      </c>
      <c r="F54" s="22">
        <f t="shared" si="5"/>
        <v>40.532176645662211</v>
      </c>
      <c r="G54" s="22">
        <f t="shared" si="6"/>
        <v>43.445666880175054</v>
      </c>
      <c r="H54" s="22">
        <f t="shared" si="7"/>
        <v>2.9134902345128424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</row>
    <row r="55" spans="1:40">
      <c r="A55" s="5" t="s">
        <v>53</v>
      </c>
      <c r="B55" s="4"/>
      <c r="C55" s="4"/>
      <c r="D55" s="18"/>
      <c r="E55" s="19"/>
      <c r="F55" s="19"/>
      <c r="G55" s="19"/>
      <c r="H55" s="19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1:40">
      <c r="A56" s="5" t="str">
        <f>A11</f>
        <v>Запасы</v>
      </c>
      <c r="B56" s="4">
        <f>D11</f>
        <v>1249562</v>
      </c>
      <c r="C56" s="4">
        <f>E11</f>
        <v>1366026</v>
      </c>
      <c r="D56" s="18">
        <f t="shared" si="3"/>
        <v>116464</v>
      </c>
      <c r="E56" s="19">
        <f t="shared" si="4"/>
        <v>109.32038586320647</v>
      </c>
      <c r="F56" s="19">
        <f t="shared" si="5"/>
        <v>11.139121211070391</v>
      </c>
      <c r="G56" s="19">
        <f t="shared" si="6"/>
        <v>10.331491624957657</v>
      </c>
      <c r="H56" s="19">
        <f t="shared" si="7"/>
        <v>-0.80762958611273383</v>
      </c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</row>
    <row r="57" spans="1:40">
      <c r="A57" s="5" t="str">
        <f t="shared" ref="A57:A58" si="11">A12</f>
        <v>НДС по приобретенным ценностям</v>
      </c>
      <c r="B57" s="4">
        <f t="shared" ref="B57:B58" si="12">D12</f>
        <v>11599</v>
      </c>
      <c r="C57" s="4">
        <f t="shared" ref="C57:C58" si="13">E12</f>
        <v>42385</v>
      </c>
      <c r="D57" s="18">
        <f t="shared" si="3"/>
        <v>30786</v>
      </c>
      <c r="E57" s="19">
        <f t="shared" si="4"/>
        <v>365.41943270971638</v>
      </c>
      <c r="F57" s="19">
        <f t="shared" si="5"/>
        <v>0.10339836432862512</v>
      </c>
      <c r="G57" s="19">
        <f t="shared" si="6"/>
        <v>0.3205651082218276</v>
      </c>
      <c r="H57" s="19">
        <f t="shared" si="7"/>
        <v>0.21716674389320248</v>
      </c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58" spans="1:40">
      <c r="A58" s="5" t="str">
        <f t="shared" si="11"/>
        <v>Дебиторская задолженность</v>
      </c>
      <c r="B58" s="4">
        <f t="shared" si="12"/>
        <v>1357460</v>
      </c>
      <c r="C58" s="4">
        <f t="shared" si="13"/>
        <v>1677691</v>
      </c>
      <c r="D58" s="18">
        <f t="shared" si="3"/>
        <v>320231</v>
      </c>
      <c r="E58" s="19">
        <f t="shared" si="4"/>
        <v>123.59045570403549</v>
      </c>
      <c r="F58" s="19">
        <f t="shared" si="5"/>
        <v>12.100969363008488</v>
      </c>
      <c r="G58" s="19">
        <f t="shared" si="6"/>
        <v>12.688668089602126</v>
      </c>
      <c r="H58" s="19">
        <f t="shared" si="7"/>
        <v>0.5876987265936382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</row>
    <row r="59" spans="1:40">
      <c r="A59" s="5" t="str">
        <f>A16</f>
        <v>Финансовые вложения</v>
      </c>
      <c r="B59" s="4">
        <f>D16</f>
        <v>111</v>
      </c>
      <c r="C59" s="4">
        <f>E16</f>
        <v>0</v>
      </c>
      <c r="D59" s="18">
        <f t="shared" si="3"/>
        <v>-111</v>
      </c>
      <c r="E59" s="19">
        <f t="shared" si="4"/>
        <v>0</v>
      </c>
      <c r="F59" s="19">
        <f t="shared" si="5"/>
        <v>9.8950068458292847E-4</v>
      </c>
      <c r="G59" s="19">
        <f t="shared" si="6"/>
        <v>0</v>
      </c>
      <c r="H59" s="19">
        <f t="shared" si="7"/>
        <v>-9.8950068458292847E-4</v>
      </c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</row>
    <row r="60" spans="1:40">
      <c r="A60" s="5" t="str">
        <f>A17</f>
        <v>Денежные средства</v>
      </c>
      <c r="B60" s="4">
        <f>D17</f>
        <v>1928078</v>
      </c>
      <c r="C60" s="4">
        <f>E17</f>
        <v>2658268</v>
      </c>
      <c r="D60" s="18">
        <f t="shared" si="3"/>
        <v>730190</v>
      </c>
      <c r="E60" s="19">
        <f t="shared" si="4"/>
        <v>137.8713931697784</v>
      </c>
      <c r="F60" s="19">
        <f t="shared" si="5"/>
        <v>17.187698206570122</v>
      </c>
      <c r="G60" s="19">
        <f t="shared" si="6"/>
        <v>20.104942057393444</v>
      </c>
      <c r="H60" s="19">
        <f t="shared" si="7"/>
        <v>2.917243850823322</v>
      </c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 spans="1:40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</row>
    <row r="62" spans="1:40">
      <c r="A62" s="17" t="s">
        <v>49</v>
      </c>
      <c r="B62" s="17" t="s">
        <v>54</v>
      </c>
      <c r="C62" s="17"/>
      <c r="D62" s="17"/>
      <c r="E62" s="17" t="s">
        <v>58</v>
      </c>
      <c r="F62" s="17" t="s">
        <v>59</v>
      </c>
      <c r="G62" s="17"/>
      <c r="H62" s="17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</row>
    <row r="63" spans="1:40" ht="25.5">
      <c r="A63" s="17"/>
      <c r="B63" s="18" t="s">
        <v>55</v>
      </c>
      <c r="C63" s="18" t="s">
        <v>56</v>
      </c>
      <c r="D63" s="18" t="s">
        <v>57</v>
      </c>
      <c r="E63" s="17"/>
      <c r="F63" s="18" t="str">
        <f>B63</f>
        <v>на начало года</v>
      </c>
      <c r="G63" s="18" t="str">
        <f t="shared" ref="G63" si="14">C63</f>
        <v>на конец года</v>
      </c>
      <c r="H63" s="18" t="str">
        <f t="shared" ref="H63" si="15">D63</f>
        <v>изменение</v>
      </c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</row>
    <row r="64" spans="1:40">
      <c r="A64" s="3" t="str">
        <f>A47</f>
        <v>Внеоборотные активы, всего</v>
      </c>
      <c r="B64" s="6">
        <f t="shared" ref="B64:E64" si="16">B47</f>
        <v>6670969</v>
      </c>
      <c r="C64" s="6">
        <f t="shared" si="16"/>
        <v>7477593</v>
      </c>
      <c r="D64" s="6">
        <f t="shared" si="16"/>
        <v>806624</v>
      </c>
      <c r="E64" s="25">
        <f t="shared" si="16"/>
        <v>112.0915567138747</v>
      </c>
      <c r="F64" s="6">
        <f>B64/$B$64*100</f>
        <v>100</v>
      </c>
      <c r="G64" s="6">
        <f>C64/$C$64*100</f>
        <v>100</v>
      </c>
      <c r="H64" s="6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</row>
    <row r="65" spans="1:40">
      <c r="A65" s="5" t="str">
        <f t="shared" ref="A65:E69" si="17">A48</f>
        <v>из них</v>
      </c>
      <c r="B65" s="1"/>
      <c r="C65" s="1"/>
      <c r="D65" s="1"/>
      <c r="E65" s="24"/>
      <c r="F65" s="1"/>
      <c r="G65" s="1"/>
      <c r="H65" s="1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</row>
    <row r="66" spans="1:40">
      <c r="A66" s="5" t="str">
        <f t="shared" si="17"/>
        <v>Нематериальные активы</v>
      </c>
      <c r="B66" s="1">
        <f t="shared" si="17"/>
        <v>775</v>
      </c>
      <c r="C66" s="1">
        <f t="shared" si="17"/>
        <v>608</v>
      </c>
      <c r="D66" s="1">
        <f t="shared" si="17"/>
        <v>-167</v>
      </c>
      <c r="E66" s="24">
        <f t="shared" si="17"/>
        <v>78.451612903225808</v>
      </c>
      <c r="F66" s="24">
        <f t="shared" ref="F65:F70" si="18">B66/$B$64*100</f>
        <v>1.1617502644668263E-2</v>
      </c>
      <c r="G66" s="24">
        <f t="shared" ref="G65:G70" si="19">C66/$C$64*100</f>
        <v>8.1309587189353581E-3</v>
      </c>
      <c r="H66" s="24">
        <f t="shared" ref="H66:H70" si="20">G66-F66</f>
        <v>-3.4865439257329052E-3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</row>
    <row r="67" spans="1:40">
      <c r="A67" s="5" t="str">
        <f t="shared" si="17"/>
        <v>Основные средства</v>
      </c>
      <c r="B67" s="1">
        <f t="shared" si="17"/>
        <v>5867604</v>
      </c>
      <c r="C67" s="1">
        <f t="shared" si="17"/>
        <v>6306738</v>
      </c>
      <c r="D67" s="1">
        <f t="shared" si="17"/>
        <v>439134</v>
      </c>
      <c r="E67" s="24">
        <f t="shared" si="17"/>
        <v>107.48404289042001</v>
      </c>
      <c r="F67" s="24">
        <f t="shared" si="18"/>
        <v>87.95729675853687</v>
      </c>
      <c r="G67" s="24">
        <f t="shared" si="19"/>
        <v>84.341819620297599</v>
      </c>
      <c r="H67" s="24">
        <f t="shared" si="20"/>
        <v>-3.615477138239271</v>
      </c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</row>
    <row r="68" spans="1:40">
      <c r="A68" s="5" t="str">
        <f t="shared" si="17"/>
        <v>Финансовые вложения</v>
      </c>
      <c r="B68" s="1">
        <f t="shared" si="17"/>
        <v>36</v>
      </c>
      <c r="C68" s="1">
        <f t="shared" si="17"/>
        <v>36</v>
      </c>
      <c r="D68" s="1">
        <f t="shared" si="17"/>
        <v>0</v>
      </c>
      <c r="E68" s="24">
        <f t="shared" si="17"/>
        <v>100</v>
      </c>
      <c r="F68" s="24">
        <f t="shared" si="18"/>
        <v>5.3965173575233226E-4</v>
      </c>
      <c r="G68" s="24">
        <f t="shared" si="19"/>
        <v>4.8143834520011989E-4</v>
      </c>
      <c r="H68" s="24">
        <f t="shared" si="20"/>
        <v>-5.8213390552212362E-5</v>
      </c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</row>
    <row r="69" spans="1:40">
      <c r="A69" s="5" t="str">
        <f t="shared" si="17"/>
        <v>Отложенные налоговые активы</v>
      </c>
      <c r="B69" s="1">
        <f t="shared" si="17"/>
        <v>64697</v>
      </c>
      <c r="C69" s="1">
        <f t="shared" si="17"/>
        <v>107534</v>
      </c>
      <c r="D69" s="1">
        <f t="shared" si="17"/>
        <v>42837</v>
      </c>
      <c r="E69" s="24">
        <f t="shared" si="17"/>
        <v>166.21172542776327</v>
      </c>
      <c r="F69" s="24">
        <f t="shared" si="18"/>
        <v>0.96982912077690675</v>
      </c>
      <c r="G69" s="24">
        <f t="shared" si="19"/>
        <v>1.4380830836874914</v>
      </c>
      <c r="H69" s="24">
        <f t="shared" si="20"/>
        <v>0.46825396291058463</v>
      </c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</row>
    <row r="70" spans="1:40">
      <c r="A70" s="5" t="str">
        <f>A53</f>
        <v>Прочие внеоборотные активы</v>
      </c>
      <c r="B70" s="1">
        <f t="shared" ref="B70:E70" si="21">B53</f>
        <v>737857</v>
      </c>
      <c r="C70" s="1">
        <f t="shared" si="21"/>
        <v>1062677</v>
      </c>
      <c r="D70" s="1">
        <f t="shared" si="21"/>
        <v>324820</v>
      </c>
      <c r="E70" s="24">
        <f t="shared" si="21"/>
        <v>144.02208015916364</v>
      </c>
      <c r="F70" s="24">
        <f t="shared" si="18"/>
        <v>11.060716966305794</v>
      </c>
      <c r="G70" s="24">
        <f t="shared" si="19"/>
        <v>14.211484898950772</v>
      </c>
      <c r="H70" s="24">
        <f t="shared" si="20"/>
        <v>3.1507679326449782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</row>
    <row r="71" spans="1:40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</row>
    <row r="72" spans="1:40">
      <c r="A72" s="17" t="s">
        <v>49</v>
      </c>
      <c r="B72" s="17" t="s">
        <v>54</v>
      </c>
      <c r="C72" s="17"/>
      <c r="D72" s="17"/>
      <c r="E72" s="17" t="s">
        <v>58</v>
      </c>
      <c r="F72" s="17" t="s">
        <v>59</v>
      </c>
      <c r="G72" s="17"/>
      <c r="H72" s="17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</row>
    <row r="73" spans="1:40" ht="25.5">
      <c r="A73" s="17"/>
      <c r="B73" s="18" t="s">
        <v>55</v>
      </c>
      <c r="C73" s="18" t="s">
        <v>56</v>
      </c>
      <c r="D73" s="18" t="s">
        <v>57</v>
      </c>
      <c r="E73" s="17"/>
      <c r="F73" s="18" t="str">
        <f>B73</f>
        <v>на начало года</v>
      </c>
      <c r="G73" s="18" t="str">
        <f t="shared" ref="G73" si="22">C73</f>
        <v>на конец года</v>
      </c>
      <c r="H73" s="18" t="str">
        <f t="shared" ref="H73" si="23">D73</f>
        <v>изменение</v>
      </c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</row>
    <row r="74" spans="1:40">
      <c r="A74" s="3" t="str">
        <f>A54</f>
        <v>Оборотные активы, всего</v>
      </c>
      <c r="B74" s="6">
        <f t="shared" ref="B74:E74" si="24">B54</f>
        <v>4546810</v>
      </c>
      <c r="C74" s="6">
        <f t="shared" si="24"/>
        <v>5744370</v>
      </c>
      <c r="D74" s="6">
        <f t="shared" si="24"/>
        <v>1197560</v>
      </c>
      <c r="E74" s="25">
        <f t="shared" si="24"/>
        <v>126.33846586947772</v>
      </c>
      <c r="F74" s="6">
        <f>B74/$B$74*100</f>
        <v>100</v>
      </c>
      <c r="G74" s="6">
        <f>C74/$C$74*100</f>
        <v>100</v>
      </c>
      <c r="H74" s="6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</row>
    <row r="75" spans="1:40">
      <c r="A75" s="5" t="str">
        <f t="shared" ref="A75:E80" si="25">A55</f>
        <v>из них</v>
      </c>
      <c r="B75" s="1"/>
      <c r="C75" s="1"/>
      <c r="D75" s="1"/>
      <c r="E75" s="24"/>
      <c r="F75" s="1"/>
      <c r="G75" s="1"/>
      <c r="H75" s="1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</row>
    <row r="76" spans="1:40">
      <c r="A76" s="5" t="str">
        <f t="shared" si="25"/>
        <v>Запасы</v>
      </c>
      <c r="B76" s="1">
        <f t="shared" si="25"/>
        <v>1249562</v>
      </c>
      <c r="C76" s="1">
        <f t="shared" si="25"/>
        <v>1366026</v>
      </c>
      <c r="D76" s="1">
        <f t="shared" si="25"/>
        <v>116464</v>
      </c>
      <c r="E76" s="24">
        <f t="shared" si="25"/>
        <v>109.32038586320647</v>
      </c>
      <c r="F76" s="24">
        <f t="shared" ref="F76:F80" si="26">B76/$B$74*100</f>
        <v>27.482168817258696</v>
      </c>
      <c r="G76" s="24">
        <f t="shared" ref="G76:G80" si="27">C76/$C$74*100</f>
        <v>23.780257887287899</v>
      </c>
      <c r="H76" s="24">
        <f>G76-F76</f>
        <v>-3.7019109299707971</v>
      </c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</row>
    <row r="77" spans="1:40">
      <c r="A77" s="5" t="str">
        <f t="shared" si="25"/>
        <v>НДС по приобретенным ценностям</v>
      </c>
      <c r="B77" s="1">
        <f t="shared" si="25"/>
        <v>11599</v>
      </c>
      <c r="C77" s="1">
        <f t="shared" si="25"/>
        <v>42385</v>
      </c>
      <c r="D77" s="1">
        <f t="shared" si="25"/>
        <v>30786</v>
      </c>
      <c r="E77" s="24">
        <f t="shared" si="25"/>
        <v>365.41943270971638</v>
      </c>
      <c r="F77" s="24">
        <f t="shared" si="26"/>
        <v>0.25510192860489</v>
      </c>
      <c r="G77" s="24">
        <f t="shared" si="27"/>
        <v>0.73785288900262347</v>
      </c>
      <c r="H77" s="24">
        <f t="shared" ref="H77:H80" si="28">G77-F77</f>
        <v>0.48275096039773346</v>
      </c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</row>
    <row r="78" spans="1:40">
      <c r="A78" s="5" t="str">
        <f t="shared" si="25"/>
        <v>Дебиторская задолженность</v>
      </c>
      <c r="B78" s="1">
        <f t="shared" si="25"/>
        <v>1357460</v>
      </c>
      <c r="C78" s="1">
        <f t="shared" si="25"/>
        <v>1677691</v>
      </c>
      <c r="D78" s="1">
        <f t="shared" si="25"/>
        <v>320231</v>
      </c>
      <c r="E78" s="24">
        <f t="shared" si="25"/>
        <v>123.59045570403549</v>
      </c>
      <c r="F78" s="24">
        <f t="shared" si="26"/>
        <v>29.855217174238639</v>
      </c>
      <c r="G78" s="24">
        <f t="shared" si="27"/>
        <v>29.205831100712526</v>
      </c>
      <c r="H78" s="24">
        <f t="shared" si="28"/>
        <v>-0.64938607352611299</v>
      </c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</row>
    <row r="79" spans="1:40">
      <c r="A79" s="5" t="str">
        <f t="shared" si="25"/>
        <v>Финансовые вложения</v>
      </c>
      <c r="B79" s="1">
        <f t="shared" si="25"/>
        <v>111</v>
      </c>
      <c r="C79" s="1">
        <f t="shared" si="25"/>
        <v>0</v>
      </c>
      <c r="D79" s="1">
        <f t="shared" si="25"/>
        <v>-111</v>
      </c>
      <c r="E79" s="24">
        <f t="shared" si="25"/>
        <v>0</v>
      </c>
      <c r="F79" s="24">
        <f t="shared" si="26"/>
        <v>2.4412720126858172E-3</v>
      </c>
      <c r="G79" s="24">
        <f t="shared" si="27"/>
        <v>0</v>
      </c>
      <c r="H79" s="24">
        <f t="shared" si="28"/>
        <v>-2.4412720126858172E-3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</row>
    <row r="80" spans="1:40">
      <c r="A80" s="5" t="str">
        <f t="shared" si="25"/>
        <v>Денежные средства</v>
      </c>
      <c r="B80" s="1">
        <f t="shared" si="25"/>
        <v>1928078</v>
      </c>
      <c r="C80" s="1">
        <f t="shared" si="25"/>
        <v>2658268</v>
      </c>
      <c r="D80" s="1">
        <f t="shared" si="25"/>
        <v>730190</v>
      </c>
      <c r="E80" s="24">
        <f t="shared" si="25"/>
        <v>137.8713931697784</v>
      </c>
      <c r="F80" s="24">
        <f t="shared" si="26"/>
        <v>42.405070807885089</v>
      </c>
      <c r="G80" s="24">
        <f t="shared" si="27"/>
        <v>46.27605812299695</v>
      </c>
      <c r="H80" s="24">
        <f t="shared" si="28"/>
        <v>3.8709873151118614</v>
      </c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</row>
    <row r="81" spans="1:40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</row>
    <row r="82" spans="1:40">
      <c r="A82" s="17" t="s">
        <v>49</v>
      </c>
      <c r="B82" s="17" t="s">
        <v>54</v>
      </c>
      <c r="C82" s="17"/>
      <c r="D82" s="17"/>
      <c r="E82" s="17" t="s">
        <v>58</v>
      </c>
      <c r="F82" s="17" t="s">
        <v>59</v>
      </c>
      <c r="G82" s="17"/>
      <c r="H82" s="17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</row>
    <row r="83" spans="1:40" ht="25.5">
      <c r="A83" s="17"/>
      <c r="B83" s="18" t="s">
        <v>55</v>
      </c>
      <c r="C83" s="18" t="s">
        <v>56</v>
      </c>
      <c r="D83" s="18" t="s">
        <v>57</v>
      </c>
      <c r="E83" s="17"/>
      <c r="F83" s="18" t="str">
        <f>B83</f>
        <v>на начало года</v>
      </c>
      <c r="G83" s="18" t="str">
        <f t="shared" ref="G83" si="29">C83</f>
        <v>на конец года</v>
      </c>
      <c r="H83" s="18" t="str">
        <f t="shared" ref="H83" si="30">D83</f>
        <v>изменение</v>
      </c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</row>
    <row r="84" spans="1:40">
      <c r="A84" s="3" t="s">
        <v>62</v>
      </c>
      <c r="B84" s="6">
        <f>D39</f>
        <v>11217779</v>
      </c>
      <c r="C84" s="6">
        <f>E39</f>
        <v>13221963</v>
      </c>
      <c r="D84" s="6">
        <f>C84-B84</f>
        <v>2004184</v>
      </c>
      <c r="E84" s="25">
        <f>C84/B84*100</f>
        <v>117.86613909937074</v>
      </c>
      <c r="F84" s="6">
        <f>B84/$B$84*100</f>
        <v>100</v>
      </c>
      <c r="G84" s="6">
        <f>C84/$C$84*100</f>
        <v>100</v>
      </c>
      <c r="H84" s="6">
        <f>G84-F84</f>
        <v>0</v>
      </c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</row>
    <row r="85" spans="1:40">
      <c r="A85" s="5" t="s">
        <v>51</v>
      </c>
      <c r="B85" s="1"/>
      <c r="C85" s="1"/>
      <c r="D85" s="1"/>
      <c r="E85" s="24"/>
      <c r="F85" s="1"/>
      <c r="G85" s="1"/>
      <c r="H85" s="1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</row>
    <row r="86" spans="1:40">
      <c r="A86" s="3" t="s">
        <v>63</v>
      </c>
      <c r="B86" s="6">
        <f>D28</f>
        <v>6111260</v>
      </c>
      <c r="C86" s="6">
        <f>E28</f>
        <v>7833774</v>
      </c>
      <c r="D86" s="6">
        <f t="shared" ref="D86:D104" si="31">C86-B86</f>
        <v>1722514</v>
      </c>
      <c r="E86" s="25">
        <f t="shared" ref="E86:E104" si="32">C86/B86*100</f>
        <v>128.18590601610796</v>
      </c>
      <c r="F86" s="25">
        <f t="shared" ref="F86:F104" si="33">B86/$B$84*100</f>
        <v>54.478341924903319</v>
      </c>
      <c r="G86" s="25">
        <f t="shared" ref="G86:G104" si="34">C86/$C$84*100</f>
        <v>59.248191815390804</v>
      </c>
      <c r="H86" s="25">
        <f t="shared" ref="H86:H104" si="35">G86-F86</f>
        <v>4.7698498904874853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</row>
    <row r="87" spans="1:40">
      <c r="A87" s="5" t="s">
        <v>64</v>
      </c>
      <c r="B87" s="1"/>
      <c r="C87" s="1"/>
      <c r="D87" s="1"/>
      <c r="E87" s="24"/>
      <c r="F87" s="24"/>
      <c r="G87" s="24"/>
      <c r="H87" s="2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</row>
    <row r="88" spans="1:40">
      <c r="A88" s="5" t="str">
        <f>A23</f>
        <v>Уставный капитал</v>
      </c>
      <c r="B88" s="1">
        <f>D23</f>
        <v>1121839</v>
      </c>
      <c r="C88" s="1">
        <f>E23</f>
        <v>1121839</v>
      </c>
      <c r="D88" s="1">
        <f t="shared" si="31"/>
        <v>0</v>
      </c>
      <c r="E88" s="24">
        <f t="shared" si="32"/>
        <v>100</v>
      </c>
      <c r="F88" s="24">
        <f t="shared" si="33"/>
        <v>10.000544671097551</v>
      </c>
      <c r="G88" s="24">
        <f t="shared" si="34"/>
        <v>8.4846629808296985</v>
      </c>
      <c r="H88" s="24">
        <f t="shared" si="35"/>
        <v>-1.515881690267852</v>
      </c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</row>
    <row r="89" spans="1:40">
      <c r="A89" s="5" t="str">
        <f t="shared" ref="A89:A92" si="36">A24</f>
        <v>Переоценка внеоборотных активов</v>
      </c>
      <c r="B89" s="1">
        <f t="shared" ref="B89:B92" si="37">D24</f>
        <v>1526240</v>
      </c>
      <c r="C89" s="1">
        <f t="shared" ref="C89:C92" si="38">E24</f>
        <v>1507650</v>
      </c>
      <c r="D89" s="1">
        <f t="shared" si="31"/>
        <v>-18590</v>
      </c>
      <c r="E89" s="24">
        <f t="shared" si="32"/>
        <v>98.78197400146766</v>
      </c>
      <c r="F89" s="24">
        <f t="shared" si="33"/>
        <v>13.605545268809449</v>
      </c>
      <c r="G89" s="24">
        <f t="shared" si="34"/>
        <v>11.40261850679812</v>
      </c>
      <c r="H89" s="24">
        <f t="shared" si="35"/>
        <v>-2.2029267620113284</v>
      </c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</row>
    <row r="90" spans="1:40">
      <c r="A90" s="5" t="str">
        <f t="shared" si="36"/>
        <v>Добавочный капитал</v>
      </c>
      <c r="B90" s="1">
        <f t="shared" si="37"/>
        <v>68366</v>
      </c>
      <c r="C90" s="1">
        <f t="shared" si="38"/>
        <v>68366</v>
      </c>
      <c r="D90" s="1">
        <f t="shared" si="31"/>
        <v>0</v>
      </c>
      <c r="E90" s="24">
        <f t="shared" si="32"/>
        <v>100</v>
      </c>
      <c r="F90" s="24">
        <f t="shared" si="33"/>
        <v>0.60944327749726579</v>
      </c>
      <c r="G90" s="24">
        <f t="shared" si="34"/>
        <v>0.51706391857245404</v>
      </c>
      <c r="H90" s="24">
        <f t="shared" si="35"/>
        <v>-9.237935892481175E-2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</row>
    <row r="91" spans="1:40">
      <c r="A91" s="5" t="str">
        <f t="shared" si="36"/>
        <v>Резервный капитал</v>
      </c>
      <c r="B91" s="1">
        <f t="shared" si="37"/>
        <v>168276</v>
      </c>
      <c r="C91" s="1">
        <f t="shared" si="38"/>
        <v>168276</v>
      </c>
      <c r="D91" s="1">
        <f t="shared" si="31"/>
        <v>0</v>
      </c>
      <c r="E91" s="24">
        <f t="shared" si="32"/>
        <v>100</v>
      </c>
      <c r="F91" s="24">
        <f t="shared" si="33"/>
        <v>1.5000830378277197</v>
      </c>
      <c r="G91" s="24">
        <f t="shared" si="34"/>
        <v>1.2727005816004779</v>
      </c>
      <c r="H91" s="24">
        <f t="shared" si="35"/>
        <v>-0.22738245622724174</v>
      </c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</row>
    <row r="92" spans="1:40">
      <c r="A92" s="5" t="str">
        <f t="shared" si="36"/>
        <v>Нераспределенная прибыль</v>
      </c>
      <c r="B92" s="1">
        <f t="shared" si="37"/>
        <v>3226539</v>
      </c>
      <c r="C92" s="1">
        <f t="shared" si="38"/>
        <v>4967643</v>
      </c>
      <c r="D92" s="1">
        <f t="shared" si="31"/>
        <v>1741104</v>
      </c>
      <c r="E92" s="24">
        <f t="shared" si="32"/>
        <v>153.96196977628352</v>
      </c>
      <c r="F92" s="24">
        <f t="shared" si="33"/>
        <v>28.76272566967133</v>
      </c>
      <c r="G92" s="24">
        <f t="shared" si="34"/>
        <v>37.571145827590044</v>
      </c>
      <c r="H92" s="24">
        <f t="shared" si="35"/>
        <v>8.8084201579187145</v>
      </c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</row>
    <row r="93" spans="1:40">
      <c r="A93" s="3" t="s">
        <v>65</v>
      </c>
      <c r="B93" s="6">
        <f>B95+B100</f>
        <v>5106519</v>
      </c>
      <c r="C93" s="6">
        <f>C95+C100</f>
        <v>5388189</v>
      </c>
      <c r="D93" s="6">
        <f t="shared" si="31"/>
        <v>281670</v>
      </c>
      <c r="E93" s="25">
        <f t="shared" si="32"/>
        <v>105.51589057046493</v>
      </c>
      <c r="F93" s="25">
        <f t="shared" si="33"/>
        <v>45.521658075096681</v>
      </c>
      <c r="G93" s="25">
        <f t="shared" si="34"/>
        <v>40.751808184609203</v>
      </c>
      <c r="H93" s="25">
        <f t="shared" si="35"/>
        <v>-4.7698498904874782</v>
      </c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</row>
    <row r="94" spans="1:40">
      <c r="A94" s="5" t="s">
        <v>64</v>
      </c>
      <c r="B94" s="1"/>
      <c r="C94" s="1"/>
      <c r="D94" s="1"/>
      <c r="E94" s="24"/>
      <c r="F94" s="24"/>
      <c r="G94" s="24"/>
      <c r="H94" s="2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</row>
    <row r="95" spans="1:40">
      <c r="A95" s="3" t="s">
        <v>67</v>
      </c>
      <c r="B95" s="6">
        <f>D33</f>
        <v>2282356</v>
      </c>
      <c r="C95" s="6">
        <f>E33</f>
        <v>3186818</v>
      </c>
      <c r="D95" s="6">
        <f t="shared" si="31"/>
        <v>904462</v>
      </c>
      <c r="E95" s="25">
        <f t="shared" si="32"/>
        <v>139.62843658044582</v>
      </c>
      <c r="F95" s="25">
        <f t="shared" si="33"/>
        <v>20.345881301459052</v>
      </c>
      <c r="G95" s="25">
        <f t="shared" si="34"/>
        <v>24.102457403639686</v>
      </c>
      <c r="H95" s="25">
        <f t="shared" si="35"/>
        <v>3.7565761021806345</v>
      </c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</row>
    <row r="96" spans="1:40">
      <c r="A96" s="5" t="s">
        <v>51</v>
      </c>
      <c r="B96" s="4"/>
      <c r="C96" s="4"/>
      <c r="D96" s="1"/>
      <c r="E96" s="24"/>
      <c r="F96" s="24"/>
      <c r="G96" s="24"/>
      <c r="H96" s="2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</row>
    <row r="97" spans="1:40">
      <c r="A97" s="5" t="str">
        <f>A30</f>
        <v>Заемные средства</v>
      </c>
      <c r="B97" s="4">
        <f>D30</f>
        <v>1107899</v>
      </c>
      <c r="C97" s="4">
        <f>E30</f>
        <v>2152431</v>
      </c>
      <c r="D97" s="1">
        <f t="shared" si="31"/>
        <v>1044532</v>
      </c>
      <c r="E97" s="24">
        <f t="shared" si="32"/>
        <v>194.28043531043895</v>
      </c>
      <c r="F97" s="24">
        <f t="shared" si="33"/>
        <v>9.8762776481868659</v>
      </c>
      <c r="G97" s="24">
        <f t="shared" si="34"/>
        <v>16.279209070544216</v>
      </c>
      <c r="H97" s="24">
        <f t="shared" si="35"/>
        <v>6.4029314223573497</v>
      </c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</row>
    <row r="98" spans="1:40">
      <c r="A98" s="5" t="str">
        <f t="shared" ref="A98:A99" si="39">A31</f>
        <v>Отложенные налоговые обязательства</v>
      </c>
      <c r="B98" s="4">
        <f>D31</f>
        <v>661918</v>
      </c>
      <c r="C98" s="4">
        <f>E31</f>
        <v>725126</v>
      </c>
      <c r="D98" s="1">
        <f t="shared" si="31"/>
        <v>63208</v>
      </c>
      <c r="E98" s="24">
        <f t="shared" si="32"/>
        <v>109.5492190875607</v>
      </c>
      <c r="F98" s="24">
        <f t="shared" si="33"/>
        <v>5.9006154426825486</v>
      </c>
      <c r="G98" s="24">
        <f t="shared" si="34"/>
        <v>5.4842537375123497</v>
      </c>
      <c r="H98" s="24">
        <f t="shared" si="35"/>
        <v>-0.41636170517019888</v>
      </c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</row>
    <row r="99" spans="1:40">
      <c r="A99" s="5" t="str">
        <f t="shared" si="39"/>
        <v>Кредиторская задолженность</v>
      </c>
      <c r="B99" s="4">
        <f>D32</f>
        <v>512539</v>
      </c>
      <c r="C99" s="4">
        <f>E32</f>
        <v>309261</v>
      </c>
      <c r="D99" s="1">
        <f t="shared" si="31"/>
        <v>-203278</v>
      </c>
      <c r="E99" s="24">
        <f t="shared" si="32"/>
        <v>60.339018103988181</v>
      </c>
      <c r="F99" s="24">
        <f t="shared" si="33"/>
        <v>4.5689882105896364</v>
      </c>
      <c r="G99" s="24">
        <f t="shared" si="34"/>
        <v>2.3389945955831219</v>
      </c>
      <c r="H99" s="24">
        <f t="shared" si="35"/>
        <v>-2.2299936150065145</v>
      </c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</row>
    <row r="100" spans="1:40">
      <c r="A100" s="3" t="s">
        <v>66</v>
      </c>
      <c r="B100" s="23">
        <f>D38</f>
        <v>2824163</v>
      </c>
      <c r="C100" s="23">
        <f>E38</f>
        <v>2201371</v>
      </c>
      <c r="D100" s="6">
        <f t="shared" si="31"/>
        <v>-622792</v>
      </c>
      <c r="E100" s="25">
        <f t="shared" si="32"/>
        <v>77.947731770439603</v>
      </c>
      <c r="F100" s="25">
        <f t="shared" si="33"/>
        <v>25.175776773637633</v>
      </c>
      <c r="G100" s="25">
        <f t="shared" si="34"/>
        <v>16.649350780969513</v>
      </c>
      <c r="H100" s="25">
        <f t="shared" si="35"/>
        <v>-8.5264259926681198</v>
      </c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</row>
    <row r="101" spans="1:40">
      <c r="A101" s="5" t="s">
        <v>51</v>
      </c>
      <c r="B101" s="4"/>
      <c r="C101" s="4"/>
      <c r="D101" s="1"/>
      <c r="E101" s="24"/>
      <c r="F101" s="24"/>
      <c r="G101" s="24"/>
      <c r="H101" s="2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</row>
    <row r="102" spans="1:40">
      <c r="A102" s="5" t="str">
        <f>A35</f>
        <v>Заемные средства</v>
      </c>
      <c r="B102" s="4">
        <f>D35</f>
        <v>481788</v>
      </c>
      <c r="C102" s="4">
        <f>E35</f>
        <v>855264</v>
      </c>
      <c r="D102" s="1">
        <f t="shared" si="31"/>
        <v>373476</v>
      </c>
      <c r="E102" s="24">
        <f t="shared" si="32"/>
        <v>177.51874268350394</v>
      </c>
      <c r="F102" s="24">
        <f t="shared" si="33"/>
        <v>4.2948608632778376</v>
      </c>
      <c r="G102" s="24">
        <f t="shared" si="34"/>
        <v>6.4685100086878178</v>
      </c>
      <c r="H102" s="24">
        <f t="shared" si="35"/>
        <v>2.1736491454099802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</row>
    <row r="103" spans="1:40">
      <c r="A103" s="5" t="str">
        <f t="shared" ref="A103:A104" si="40">A36</f>
        <v>Кредиторская задолженность</v>
      </c>
      <c r="B103" s="4">
        <f t="shared" ref="B103:C104" si="41">D36</f>
        <v>2167090</v>
      </c>
      <c r="C103" s="4">
        <f t="shared" si="41"/>
        <v>1133012</v>
      </c>
      <c r="D103" s="1">
        <f t="shared" si="31"/>
        <v>-1034078</v>
      </c>
      <c r="E103" s="24">
        <f t="shared" si="32"/>
        <v>52.282646313720235</v>
      </c>
      <c r="F103" s="24">
        <f t="shared" si="33"/>
        <v>19.318351698674043</v>
      </c>
      <c r="G103" s="24">
        <f t="shared" si="34"/>
        <v>8.5691663181934477</v>
      </c>
      <c r="H103" s="24">
        <f t="shared" si="35"/>
        <v>-10.749185380480595</v>
      </c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</row>
    <row r="104" spans="1:40">
      <c r="A104" s="5" t="str">
        <f t="shared" si="40"/>
        <v>Оценочные обязательства</v>
      </c>
      <c r="B104" s="4">
        <f t="shared" si="41"/>
        <v>175285</v>
      </c>
      <c r="C104" s="4">
        <f t="shared" si="41"/>
        <v>213095</v>
      </c>
      <c r="D104" s="1">
        <f t="shared" si="31"/>
        <v>37810</v>
      </c>
      <c r="E104" s="24">
        <f t="shared" si="32"/>
        <v>121.57058504720884</v>
      </c>
      <c r="F104" s="24">
        <f t="shared" si="33"/>
        <v>1.5625642116857537</v>
      </c>
      <c r="G104" s="24">
        <f t="shared" si="34"/>
        <v>1.6116744540882471</v>
      </c>
      <c r="H104" s="24">
        <f t="shared" si="35"/>
        <v>4.9110242402493398E-2</v>
      </c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</row>
    <row r="105" spans="1:40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</row>
    <row r="106" spans="1:40" ht="25.5" customHeight="1">
      <c r="A106" s="17" t="str">
        <f>A82</f>
        <v>Показатели</v>
      </c>
      <c r="B106" s="17" t="str">
        <f>B82</f>
        <v>Сумма, тыс. руб.</v>
      </c>
      <c r="C106" s="17"/>
      <c r="D106" s="17" t="str">
        <f>D83</f>
        <v>изменение</v>
      </c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</row>
    <row r="107" spans="1:40" ht="25.5">
      <c r="A107" s="17"/>
      <c r="B107" s="18" t="str">
        <f>B83</f>
        <v>на начало года</v>
      </c>
      <c r="C107" s="18" t="str">
        <f>C83</f>
        <v>на конец года</v>
      </c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</row>
    <row r="108" spans="1:40">
      <c r="A108" s="7" t="s">
        <v>68</v>
      </c>
      <c r="B108" s="18">
        <f>B86</f>
        <v>6111260</v>
      </c>
      <c r="C108" s="18">
        <f>C86</f>
        <v>7833774</v>
      </c>
      <c r="D108" s="18">
        <f>C108-B108</f>
        <v>1722514</v>
      </c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</row>
    <row r="109" spans="1:40">
      <c r="A109" s="7" t="s">
        <v>69</v>
      </c>
      <c r="B109" s="18">
        <f>B47</f>
        <v>6670969</v>
      </c>
      <c r="C109" s="18">
        <f>C47</f>
        <v>7477593</v>
      </c>
      <c r="D109" s="18">
        <f t="shared" ref="D109:D112" si="42">C109-B109</f>
        <v>806624</v>
      </c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</row>
    <row r="110" spans="1:40">
      <c r="A110" s="7" t="str">
        <f>A95</f>
        <v>Долгосрочные обязательства</v>
      </c>
      <c r="B110" s="18">
        <f>B95</f>
        <v>2282356</v>
      </c>
      <c r="C110" s="18">
        <f>C95</f>
        <v>3186818</v>
      </c>
      <c r="D110" s="18">
        <f t="shared" si="42"/>
        <v>904462</v>
      </c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</row>
    <row r="111" spans="1:40">
      <c r="A111" s="7" t="s">
        <v>70</v>
      </c>
      <c r="B111" s="18">
        <f>B108-B109</f>
        <v>-559709</v>
      </c>
      <c r="C111" s="18">
        <f>C108-C109</f>
        <v>356181</v>
      </c>
      <c r="D111" s="18">
        <f t="shared" si="42"/>
        <v>915890</v>
      </c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</row>
    <row r="112" spans="1:40">
      <c r="A112" s="5" t="s">
        <v>71</v>
      </c>
      <c r="B112" s="1">
        <f>B110+B111</f>
        <v>1722647</v>
      </c>
      <c r="C112" s="1">
        <f>C110+C111</f>
        <v>3542999</v>
      </c>
      <c r="D112" s="18">
        <f t="shared" si="42"/>
        <v>1820352</v>
      </c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</row>
    <row r="113" spans="1:40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</row>
    <row r="114" spans="1:40">
      <c r="A114" s="17" t="str">
        <f>A106</f>
        <v>Показатели</v>
      </c>
      <c r="B114" s="17" t="str">
        <f>B106</f>
        <v>Сумма, тыс. руб.</v>
      </c>
      <c r="C114" s="17"/>
      <c r="D114" s="17" t="str">
        <f>D106</f>
        <v>изменение</v>
      </c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1:40" ht="25.5">
      <c r="A115" s="17"/>
      <c r="B115" s="18" t="str">
        <f>B107</f>
        <v>на начало года</v>
      </c>
      <c r="C115" s="18" t="str">
        <f>C107</f>
        <v>на конец года</v>
      </c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1:40">
      <c r="A116" s="3" t="str">
        <f>A111</f>
        <v>Собственные оборотные средства а)</v>
      </c>
      <c r="B116" s="1">
        <f t="shared" ref="B116:C116" si="43">B111</f>
        <v>-559709</v>
      </c>
      <c r="C116" s="1">
        <f t="shared" si="43"/>
        <v>356181</v>
      </c>
      <c r="D116" s="1">
        <f>C116-B116</f>
        <v>915890</v>
      </c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1:40">
      <c r="A117" s="3" t="str">
        <f>A112</f>
        <v>Собственные оборотные средства б)</v>
      </c>
      <c r="B117" s="1">
        <f t="shared" ref="B117:C117" si="44">B112</f>
        <v>1722647</v>
      </c>
      <c r="C117" s="1">
        <f t="shared" si="44"/>
        <v>3542999</v>
      </c>
      <c r="D117" s="1">
        <f t="shared" ref="D117:D129" si="45">C117-B117</f>
        <v>1820352</v>
      </c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1:40" ht="26.25">
      <c r="A118" s="20" t="s">
        <v>77</v>
      </c>
      <c r="B118" s="1"/>
      <c r="C118" s="1"/>
      <c r="D118" s="1">
        <f t="shared" si="45"/>
        <v>0</v>
      </c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1:40">
      <c r="A119" s="5" t="s">
        <v>72</v>
      </c>
      <c r="B119" s="1">
        <f>B88</f>
        <v>1121839</v>
      </c>
      <c r="C119" s="1">
        <f>C88</f>
        <v>1121839</v>
      </c>
      <c r="D119" s="1">
        <f t="shared" si="45"/>
        <v>0</v>
      </c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1:40">
      <c r="A120" s="5" t="s">
        <v>78</v>
      </c>
      <c r="B120" s="1">
        <f>B91</f>
        <v>168276</v>
      </c>
      <c r="C120" s="1">
        <f>C91</f>
        <v>168276</v>
      </c>
      <c r="D120" s="1">
        <f t="shared" si="45"/>
        <v>0</v>
      </c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1:40">
      <c r="A121" s="5" t="s">
        <v>73</v>
      </c>
      <c r="B121" s="1">
        <f>B90</f>
        <v>68366</v>
      </c>
      <c r="C121" s="1">
        <f>C90</f>
        <v>68366</v>
      </c>
      <c r="D121" s="1">
        <f t="shared" si="45"/>
        <v>0</v>
      </c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1:40">
      <c r="A122" s="5" t="s">
        <v>74</v>
      </c>
      <c r="B122" s="1">
        <f>B92</f>
        <v>3226539</v>
      </c>
      <c r="C122" s="1">
        <f>C92</f>
        <v>4967643</v>
      </c>
      <c r="D122" s="1">
        <f t="shared" si="45"/>
        <v>1741104</v>
      </c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1:40">
      <c r="A123" s="5" t="s">
        <v>75</v>
      </c>
      <c r="B123" s="1"/>
      <c r="C123" s="1"/>
      <c r="D123" s="1">
        <f>SUM(D119:D122)</f>
        <v>1741104</v>
      </c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1:40">
      <c r="A124" s="5"/>
      <c r="B124" s="1"/>
      <c r="C124" s="1"/>
      <c r="D124" s="1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1:40">
      <c r="A125" s="3" t="s">
        <v>76</v>
      </c>
      <c r="B125" s="1">
        <f>B74</f>
        <v>4546810</v>
      </c>
      <c r="C125" s="1">
        <f>C74</f>
        <v>5744370</v>
      </c>
      <c r="D125" s="1">
        <f t="shared" si="45"/>
        <v>1197560</v>
      </c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1:40">
      <c r="A126" s="3" t="s">
        <v>67</v>
      </c>
      <c r="B126" s="1">
        <f>B110</f>
        <v>2282356</v>
      </c>
      <c r="C126" s="1">
        <f>C110</f>
        <v>3186818</v>
      </c>
      <c r="D126" s="1">
        <f t="shared" si="45"/>
        <v>904462</v>
      </c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1:40">
      <c r="A127" s="3" t="s">
        <v>66</v>
      </c>
      <c r="B127" s="1">
        <f>B100</f>
        <v>2824163</v>
      </c>
      <c r="C127" s="1">
        <f>C100</f>
        <v>2201371</v>
      </c>
      <c r="D127" s="1">
        <f t="shared" si="45"/>
        <v>-622792</v>
      </c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1:40">
      <c r="A128" s="3" t="str">
        <f>A116</f>
        <v>Собственные оборотные средства а)</v>
      </c>
      <c r="B128" s="1">
        <f>B125-B126-B127</f>
        <v>-559709</v>
      </c>
      <c r="C128" s="1">
        <f>C125-C126-C127</f>
        <v>356181</v>
      </c>
      <c r="D128" s="1">
        <f t="shared" si="45"/>
        <v>915890</v>
      </c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  <row r="129" spans="1:40">
      <c r="A129" s="3" t="str">
        <f>A117</f>
        <v>Собственные оборотные средства б)</v>
      </c>
      <c r="B129" s="1">
        <f>B125-B127</f>
        <v>1722647</v>
      </c>
      <c r="C129" s="1">
        <f>C125-C127</f>
        <v>3542999</v>
      </c>
      <c r="D129" s="1">
        <f t="shared" si="45"/>
        <v>1820352</v>
      </c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</row>
    <row r="130" spans="1:40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</row>
    <row r="131" spans="1:40" ht="25.5">
      <c r="A131" s="18" t="str">
        <f>A114</f>
        <v>Показатели</v>
      </c>
      <c r="B131" s="18" t="str">
        <f>B115</f>
        <v>на начало года</v>
      </c>
      <c r="C131" s="18" t="str">
        <f>C115</f>
        <v>на конец года</v>
      </c>
      <c r="D131" s="18" t="str">
        <f>D114</f>
        <v>изменение</v>
      </c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</row>
    <row r="132" spans="1:40" ht="26.25">
      <c r="A132" s="7" t="s">
        <v>81</v>
      </c>
      <c r="B132" s="26">
        <f>B86/B84</f>
        <v>0.54478341924903317</v>
      </c>
      <c r="C132" s="26">
        <f>C86/C84</f>
        <v>0.59248191815390805</v>
      </c>
      <c r="D132" s="26">
        <f>C132-B132</f>
        <v>4.7698498904874875E-2</v>
      </c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</row>
    <row r="133" spans="1:40" ht="26.25">
      <c r="A133" s="7" t="s">
        <v>79</v>
      </c>
      <c r="B133" s="26">
        <f>B116/B125</f>
        <v>-0.12309927179715009</v>
      </c>
      <c r="C133" s="26">
        <f>C116/C125</f>
        <v>6.2005232949827398E-2</v>
      </c>
      <c r="D133" s="26">
        <f t="shared" ref="D133:D135" si="46">C133-B133</f>
        <v>0.18510450474697748</v>
      </c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</row>
    <row r="134" spans="1:40" ht="26.25">
      <c r="A134" s="7" t="s">
        <v>82</v>
      </c>
      <c r="B134" s="26">
        <f>B116/(D11+D12)</f>
        <v>-0.44380455786374617</v>
      </c>
      <c r="C134" s="26">
        <f>C116/(E11+E12)</f>
        <v>0.25289563912806701</v>
      </c>
      <c r="D134" s="26">
        <f t="shared" si="46"/>
        <v>0.69670019699181318</v>
      </c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</row>
    <row r="135" spans="1:40">
      <c r="A135" s="5" t="s">
        <v>80</v>
      </c>
      <c r="B135" s="26">
        <f>B116/B108</f>
        <v>-9.1586514074020742E-2</v>
      </c>
      <c r="C135" s="26">
        <f>C116/C108</f>
        <v>4.5467357112931775E-2</v>
      </c>
      <c r="D135" s="26">
        <f t="shared" si="46"/>
        <v>0.1370538711869525</v>
      </c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</row>
    <row r="136" spans="1:40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</row>
    <row r="137" spans="1:40">
      <c r="A137" s="17" t="str">
        <f>A131</f>
        <v>Показатели</v>
      </c>
      <c r="B137" s="17" t="str">
        <f t="shared" ref="B137:D137" si="47">B131</f>
        <v>на начало года</v>
      </c>
      <c r="C137" s="17" t="str">
        <f t="shared" si="47"/>
        <v>на конец года</v>
      </c>
      <c r="D137" s="17" t="str">
        <f t="shared" si="47"/>
        <v>изменение</v>
      </c>
      <c r="E137" s="17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</row>
    <row r="138" spans="1:40">
      <c r="A138" s="17"/>
      <c r="B138" s="17"/>
      <c r="C138" s="17"/>
      <c r="D138" s="18" t="s">
        <v>83</v>
      </c>
      <c r="E138" s="18" t="s">
        <v>84</v>
      </c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</row>
    <row r="139" spans="1:40">
      <c r="A139" s="5" t="s">
        <v>85</v>
      </c>
      <c r="B139" s="1">
        <f>D17+D16</f>
        <v>1928189</v>
      </c>
      <c r="C139" s="1">
        <f>E17+E16</f>
        <v>2658268</v>
      </c>
      <c r="D139" s="1">
        <f>C139-B139</f>
        <v>730079</v>
      </c>
      <c r="E139" s="24">
        <f>C139/B139*100</f>
        <v>137.86345633130361</v>
      </c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</row>
    <row r="140" spans="1:40">
      <c r="A140" s="5" t="s">
        <v>86</v>
      </c>
      <c r="B140" s="1">
        <f>B139+D15+D18</f>
        <v>3285649</v>
      </c>
      <c r="C140" s="1">
        <f>C139+E15+E18</f>
        <v>4335959</v>
      </c>
      <c r="D140" s="1">
        <f t="shared" ref="D140:D147" si="48">C140-B140</f>
        <v>1050310</v>
      </c>
      <c r="E140" s="24">
        <f t="shared" ref="E140:E147" si="49">C140/B140*100</f>
        <v>131.96659168401737</v>
      </c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</row>
    <row r="141" spans="1:40">
      <c r="A141" s="5" t="s">
        <v>87</v>
      </c>
      <c r="B141" s="1">
        <f>SUM(B139:B140)</f>
        <v>5213838</v>
      </c>
      <c r="C141" s="1">
        <f>SUM(C139:C140)</f>
        <v>6994227</v>
      </c>
      <c r="D141" s="1">
        <f t="shared" si="48"/>
        <v>1780389</v>
      </c>
      <c r="E141" s="24">
        <f t="shared" si="49"/>
        <v>134.14737857217659</v>
      </c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</row>
    <row r="142" spans="1:40">
      <c r="A142" s="5" t="s">
        <v>88</v>
      </c>
      <c r="B142" s="1">
        <f>D11</f>
        <v>1249562</v>
      </c>
      <c r="C142" s="1">
        <f>E11</f>
        <v>1366026</v>
      </c>
      <c r="D142" s="1">
        <f t="shared" si="48"/>
        <v>116464</v>
      </c>
      <c r="E142" s="24">
        <f t="shared" si="49"/>
        <v>109.32038586320647</v>
      </c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</row>
    <row r="143" spans="1:40">
      <c r="A143" s="5" t="s">
        <v>89</v>
      </c>
      <c r="B143" s="1">
        <f>B141+B142</f>
        <v>6463400</v>
      </c>
      <c r="C143" s="1">
        <f>C141+C142</f>
        <v>8360253</v>
      </c>
      <c r="D143" s="1">
        <f t="shared" si="48"/>
        <v>1896853</v>
      </c>
      <c r="E143" s="24">
        <f t="shared" si="49"/>
        <v>129.34760342853608</v>
      </c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</row>
    <row r="144" spans="1:40">
      <c r="A144" s="5" t="s">
        <v>90</v>
      </c>
      <c r="B144" s="1">
        <f>B100</f>
        <v>2824163</v>
      </c>
      <c r="C144" s="1">
        <f>C100</f>
        <v>2201371</v>
      </c>
      <c r="D144" s="1">
        <f t="shared" si="48"/>
        <v>-622792</v>
      </c>
      <c r="E144" s="24">
        <f t="shared" si="49"/>
        <v>77.947731770439603</v>
      </c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</row>
    <row r="145" spans="1:40">
      <c r="A145" s="7" t="s">
        <v>92</v>
      </c>
      <c r="B145" s="26">
        <f>B139/B144</f>
        <v>0.68274706523667361</v>
      </c>
      <c r="C145" s="26">
        <f>C139/C144</f>
        <v>1.2075511124658225</v>
      </c>
      <c r="D145" s="26">
        <f t="shared" si="48"/>
        <v>0.52480404722914886</v>
      </c>
      <c r="E145" s="24">
        <f t="shared" si="49"/>
        <v>176.86654018018021</v>
      </c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</row>
    <row r="146" spans="1:40" ht="26.25">
      <c r="A146" s="7" t="s">
        <v>91</v>
      </c>
      <c r="B146" s="26">
        <f>B141/B144</f>
        <v>1.8461533558792464</v>
      </c>
      <c r="C146" s="26">
        <f>C141/C144</f>
        <v>3.1772141088439887</v>
      </c>
      <c r="D146" s="26">
        <f t="shared" si="48"/>
        <v>1.3310607529647422</v>
      </c>
      <c r="E146" s="24">
        <f t="shared" si="49"/>
        <v>172.09914326596194</v>
      </c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</row>
    <row r="147" spans="1:40">
      <c r="A147" s="7" t="s">
        <v>93</v>
      </c>
      <c r="B147" s="26">
        <f>B143/B144</f>
        <v>2.2886072793957006</v>
      </c>
      <c r="C147" s="26">
        <f>C143/C144</f>
        <v>3.797748312301743</v>
      </c>
      <c r="D147" s="26">
        <f t="shared" si="48"/>
        <v>1.5091410329060424</v>
      </c>
      <c r="E147" s="24">
        <f t="shared" si="49"/>
        <v>165.9414590914229</v>
      </c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</row>
    <row r="148" spans="1:40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</row>
    <row r="149" spans="1:40" ht="89.25">
      <c r="A149" s="18" t="str">
        <f>A137</f>
        <v>Показатели</v>
      </c>
      <c r="B149" s="18" t="s">
        <v>94</v>
      </c>
      <c r="C149" s="18" t="s">
        <v>95</v>
      </c>
      <c r="D149" s="18" t="s">
        <v>96</v>
      </c>
      <c r="E149" s="18" t="s">
        <v>97</v>
      </c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</row>
    <row r="150" spans="1:40">
      <c r="A150" s="5" t="s">
        <v>98</v>
      </c>
      <c r="B150" s="26">
        <f>B147</f>
        <v>2.2886072793957006</v>
      </c>
      <c r="C150" s="26">
        <f>C147</f>
        <v>3.797748312301743</v>
      </c>
      <c r="D150" s="1" t="s">
        <v>100</v>
      </c>
      <c r="E150" s="1" t="s">
        <v>101</v>
      </c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</row>
    <row r="151" spans="1:40">
      <c r="A151" s="5" t="s">
        <v>105</v>
      </c>
      <c r="B151" s="26">
        <f>B133</f>
        <v>-0.12309927179715009</v>
      </c>
      <c r="C151" s="26">
        <f>C133</f>
        <v>6.2005232949827398E-2</v>
      </c>
      <c r="D151" s="1" t="s">
        <v>102</v>
      </c>
      <c r="E151" s="1" t="s">
        <v>103</v>
      </c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</row>
    <row r="152" spans="1:40">
      <c r="A152" s="5" t="s">
        <v>106</v>
      </c>
      <c r="B152" s="1"/>
      <c r="C152" s="31">
        <f>(C150+6/12*(C150-B150))/2</f>
        <v>2.276159414377382</v>
      </c>
      <c r="D152" s="1" t="s">
        <v>99</v>
      </c>
      <c r="E152" s="1" t="s">
        <v>104</v>
      </c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</row>
    <row r="153" spans="1:40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</row>
    <row r="154" spans="1:40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</row>
    <row r="155" spans="1:40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</row>
    <row r="156" spans="1:40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</row>
    <row r="157" spans="1:40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</row>
    <row r="158" spans="1:40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</row>
    <row r="159" spans="1:40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</row>
    <row r="160" spans="1:40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</row>
    <row r="161" spans="1:40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</row>
    <row r="162" spans="1:40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</row>
    <row r="163" spans="1:40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</row>
    <row r="164" spans="1:40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</row>
    <row r="165" spans="1:40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</row>
    <row r="166" spans="1:40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</row>
    <row r="167" spans="1:40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</row>
    <row r="168" spans="1:40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</row>
    <row r="169" spans="1:40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</row>
    <row r="170" spans="1:40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</row>
    <row r="171" spans="1:40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</row>
    <row r="172" spans="1:40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</row>
    <row r="173" spans="1:40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</row>
    <row r="174" spans="1:40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</row>
    <row r="175" spans="1:40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</row>
    <row r="176" spans="1:40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</row>
    <row r="177" spans="1:40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</row>
    <row r="178" spans="1:40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</row>
    <row r="179" spans="1:40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</row>
    <row r="180" spans="1:40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</row>
    <row r="181" spans="1:40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</row>
    <row r="182" spans="1:40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</row>
    <row r="183" spans="1:40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</row>
    <row r="184" spans="1:40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</row>
    <row r="185" spans="1:40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</row>
    <row r="186" spans="1:40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</row>
    <row r="187" spans="1:40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</row>
    <row r="188" spans="1:40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</row>
    <row r="189" spans="1:40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</row>
    <row r="190" spans="1:40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</row>
    <row r="191" spans="1:40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</row>
    <row r="192" spans="1:40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</row>
    <row r="193" spans="1:40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</row>
    <row r="194" spans="1:40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</row>
    <row r="195" spans="1:40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</row>
    <row r="196" spans="1:40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</row>
    <row r="197" spans="1:40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</row>
    <row r="198" spans="1:40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</row>
    <row r="199" spans="1:40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</row>
    <row r="200" spans="1:40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</row>
    <row r="201" spans="1:40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</row>
    <row r="202" spans="1:40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</row>
    <row r="203" spans="1:40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</row>
    <row r="204" spans="1:40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</row>
    <row r="205" spans="1:40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</row>
    <row r="206" spans="1:40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</row>
    <row r="207" spans="1:40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</row>
    <row r="208" spans="1:40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</row>
    <row r="209" spans="1:40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</row>
    <row r="210" spans="1:40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</row>
    <row r="211" spans="1:40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</row>
    <row r="212" spans="1:40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</row>
    <row r="213" spans="1:40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</row>
    <row r="214" spans="1:40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</row>
    <row r="215" spans="1:40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</row>
    <row r="216" spans="1:40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</row>
    <row r="217" spans="1:40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</row>
    <row r="218" spans="1:40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</row>
    <row r="219" spans="1:40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</row>
    <row r="220" spans="1:40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</row>
    <row r="221" spans="1:40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</row>
    <row r="222" spans="1:40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</row>
    <row r="223" spans="1:40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</row>
    <row r="224" spans="1:40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</row>
    <row r="225" spans="1:40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</row>
    <row r="226" spans="1:40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</row>
    <row r="227" spans="1:40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</row>
    <row r="228" spans="1:40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</row>
    <row r="229" spans="1:40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</row>
    <row r="230" spans="1:40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</row>
    <row r="231" spans="1:40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</row>
    <row r="232" spans="1:40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</row>
    <row r="233" spans="1:40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</row>
    <row r="234" spans="1:40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</row>
    <row r="235" spans="1:40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</row>
    <row r="236" spans="1:40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</row>
    <row r="237" spans="1:40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</row>
    <row r="238" spans="1:40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</row>
    <row r="239" spans="1:40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</row>
    <row r="240" spans="1:40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</row>
    <row r="241" spans="1:40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</row>
    <row r="242" spans="1:40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</row>
    <row r="243" spans="1:40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</row>
    <row r="244" spans="1:40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</row>
    <row r="245" spans="1:40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</row>
    <row r="246" spans="1:40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</row>
    <row r="247" spans="1:40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</row>
    <row r="248" spans="1:40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</row>
    <row r="249" spans="1:40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</row>
    <row r="250" spans="1:40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</row>
    <row r="251" spans="1:40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</row>
    <row r="252" spans="1:40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</row>
    <row r="253" spans="1:40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</row>
    <row r="254" spans="1:40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</row>
    <row r="255" spans="1:40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</row>
    <row r="256" spans="1:40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</row>
    <row r="257" spans="1:40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</row>
    <row r="258" spans="1:40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</row>
    <row r="259" spans="1:40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</row>
    <row r="260" spans="1:40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</row>
    <row r="261" spans="1:40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</row>
    <row r="262" spans="1:40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</row>
    <row r="263" spans="1:40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</row>
    <row r="264" spans="1:40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</row>
    <row r="265" spans="1:40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</row>
    <row r="266" spans="1:40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</row>
    <row r="267" spans="1:40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</row>
    <row r="268" spans="1:40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</row>
    <row r="269" spans="1:40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</row>
    <row r="270" spans="1:40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</row>
    <row r="271" spans="1:40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</row>
    <row r="272" spans="1:40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</row>
    <row r="273" spans="1:40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</row>
    <row r="274" spans="1:40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</row>
    <row r="275" spans="1:40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</row>
    <row r="276" spans="1:40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</row>
    <row r="277" spans="1:40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</row>
    <row r="278" spans="1:40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</row>
    <row r="279" spans="1:40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</row>
    <row r="280" spans="1:40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</row>
    <row r="281" spans="1:40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</row>
    <row r="282" spans="1:40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</row>
    <row r="283" spans="1:40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</row>
    <row r="284" spans="1:40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</row>
    <row r="285" spans="1:40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</row>
    <row r="286" spans="1:40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</row>
    <row r="287" spans="1:40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</row>
    <row r="288" spans="1:40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</row>
    <row r="289" spans="1:40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</row>
    <row r="290" spans="1:40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</row>
    <row r="291" spans="1:40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</row>
    <row r="292" spans="1:40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</row>
    <row r="293" spans="1:40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</row>
    <row r="294" spans="1:40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</row>
    <row r="295" spans="1:40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</row>
    <row r="296" spans="1:40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</row>
    <row r="297" spans="1:40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</row>
    <row r="298" spans="1:40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</row>
    <row r="299" spans="1:40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</row>
    <row r="300" spans="1:40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</row>
    <row r="301" spans="1:40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</row>
    <row r="302" spans="1:40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</row>
    <row r="303" spans="1:40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</row>
    <row r="304" spans="1:40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</row>
    <row r="305" spans="1:40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</row>
    <row r="306" spans="1:40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</row>
    <row r="307" spans="1:40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</row>
    <row r="308" spans="1:40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</row>
    <row r="309" spans="1:40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</row>
    <row r="310" spans="1:40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</row>
    <row r="311" spans="1:40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</row>
    <row r="312" spans="1:40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</row>
    <row r="313" spans="1:40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</row>
    <row r="314" spans="1:40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</row>
    <row r="315" spans="1:40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</row>
    <row r="316" spans="1:40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</row>
    <row r="317" spans="1:40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</row>
    <row r="318" spans="1:40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</row>
    <row r="319" spans="1:40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</row>
    <row r="320" spans="1:40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</row>
    <row r="321" spans="1:40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</row>
    <row r="322" spans="1:40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</row>
    <row r="323" spans="1:40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</row>
    <row r="324" spans="1:40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</row>
    <row r="325" spans="1:40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</row>
    <row r="326" spans="1:40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</row>
    <row r="327" spans="1:40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</row>
    <row r="328" spans="1:40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</row>
    <row r="329" spans="1:40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</row>
    <row r="330" spans="1:40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</row>
    <row r="331" spans="1:40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</row>
    <row r="332" spans="1:40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</row>
    <row r="333" spans="1:40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</row>
    <row r="334" spans="1:40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</row>
    <row r="335" spans="1:40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</row>
    <row r="336" spans="1:40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</row>
    <row r="337" spans="1:40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</row>
    <row r="338" spans="1:40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</row>
    <row r="339" spans="1:40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</row>
    <row r="340" spans="1:40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</row>
    <row r="341" spans="1:40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</row>
    <row r="342" spans="1:40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</row>
    <row r="343" spans="1:40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</row>
    <row r="344" spans="1:40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</row>
    <row r="345" spans="1:40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</row>
    <row r="346" spans="1:40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</row>
    <row r="347" spans="1:40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</row>
    <row r="348" spans="1:40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</row>
    <row r="349" spans="1:40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</row>
    <row r="350" spans="1:40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</row>
    <row r="351" spans="1:40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</row>
    <row r="352" spans="1:40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</row>
    <row r="353" spans="1:40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</row>
    <row r="354" spans="1:40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</row>
    <row r="355" spans="1:40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</row>
    <row r="356" spans="1:40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</row>
    <row r="357" spans="1:40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</row>
    <row r="358" spans="1:40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</row>
    <row r="359" spans="1:40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</row>
    <row r="360" spans="1:40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</row>
    <row r="361" spans="1:40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</row>
    <row r="362" spans="1:40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</row>
    <row r="363" spans="1:40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</row>
    <row r="364" spans="1:40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</row>
    <row r="365" spans="1:40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</row>
    <row r="366" spans="1:40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</row>
    <row r="367" spans="1:40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</row>
    <row r="368" spans="1:40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</row>
    <row r="369" spans="1:40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</row>
    <row r="370" spans="1:40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</row>
    <row r="371" spans="1:40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</row>
    <row r="372" spans="1:40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</row>
    <row r="373" spans="1:40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</row>
    <row r="374" spans="1:40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</row>
  </sheetData>
  <mergeCells count="26">
    <mergeCell ref="D137:E137"/>
    <mergeCell ref="B137:B138"/>
    <mergeCell ref="C137:C138"/>
    <mergeCell ref="A137:A138"/>
    <mergeCell ref="B106:C106"/>
    <mergeCell ref="D106:D107"/>
    <mergeCell ref="A106:A107"/>
    <mergeCell ref="A114:A115"/>
    <mergeCell ref="B114:C114"/>
    <mergeCell ref="D114:D115"/>
    <mergeCell ref="A72:A73"/>
    <mergeCell ref="B72:D72"/>
    <mergeCell ref="E72:E73"/>
    <mergeCell ref="F72:H72"/>
    <mergeCell ref="A82:A83"/>
    <mergeCell ref="B82:D82"/>
    <mergeCell ref="E82:E83"/>
    <mergeCell ref="F82:H82"/>
    <mergeCell ref="E43:E44"/>
    <mergeCell ref="F43:H43"/>
    <mergeCell ref="B43:D43"/>
    <mergeCell ref="A43:A44"/>
    <mergeCell ref="A62:A63"/>
    <mergeCell ref="B62:D62"/>
    <mergeCell ref="E62:E63"/>
    <mergeCell ref="F62:H6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Q294"/>
  <sheetViews>
    <sheetView tabSelected="1" topLeftCell="A40" workbookViewId="0">
      <selection activeCell="K58" sqref="K58"/>
    </sheetView>
  </sheetViews>
  <sheetFormatPr defaultRowHeight="15"/>
  <cols>
    <col min="1" max="1" width="46.42578125" customWidth="1"/>
    <col min="3" max="3" width="19.42578125" customWidth="1"/>
    <col min="4" max="4" width="10.140625" customWidth="1"/>
    <col min="5" max="5" width="10.42578125" customWidth="1"/>
    <col min="6" max="6" width="11.28515625" customWidth="1"/>
  </cols>
  <sheetData>
    <row r="1" spans="1:4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</row>
    <row r="2" spans="1:43">
      <c r="A2" s="8" t="s">
        <v>33</v>
      </c>
      <c r="B2" s="8">
        <v>2020</v>
      </c>
      <c r="C2" s="9">
        <v>2021</v>
      </c>
      <c r="D2" s="1">
        <v>2022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</row>
    <row r="3" spans="1:43">
      <c r="A3" s="10" t="s">
        <v>34</v>
      </c>
      <c r="B3" s="12">
        <v>9177397</v>
      </c>
      <c r="C3" s="12">
        <v>12885224</v>
      </c>
      <c r="D3" s="13">
        <v>13832675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</row>
    <row r="4" spans="1:43">
      <c r="A4" s="10" t="s">
        <v>35</v>
      </c>
      <c r="B4" s="12">
        <v>6184676</v>
      </c>
      <c r="C4" s="12">
        <v>7964439</v>
      </c>
      <c r="D4" s="13">
        <v>8261963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43">
      <c r="A5" s="10" t="s">
        <v>36</v>
      </c>
      <c r="B5" s="12">
        <f>B3-B4</f>
        <v>2992721</v>
      </c>
      <c r="C5" s="12">
        <f>C3-C4</f>
        <v>4920785</v>
      </c>
      <c r="D5" s="12">
        <f>D3-D4</f>
        <v>5570712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</row>
    <row r="6" spans="1:43">
      <c r="A6" s="10" t="s">
        <v>37</v>
      </c>
      <c r="B6" s="12">
        <v>1359819</v>
      </c>
      <c r="C6" s="12">
        <v>1647499</v>
      </c>
      <c r="D6" s="13">
        <v>1212653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43">
      <c r="A7" s="10" t="s">
        <v>38</v>
      </c>
      <c r="B7" s="12">
        <v>760540</v>
      </c>
      <c r="C7" s="12">
        <v>938540</v>
      </c>
      <c r="D7" s="13">
        <v>1035542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</row>
    <row r="8" spans="1:43">
      <c r="A8" s="10" t="s">
        <v>39</v>
      </c>
      <c r="B8" s="12">
        <f>B5-B6-B7</f>
        <v>872362</v>
      </c>
      <c r="C8" s="12">
        <f>C5-C6-C7</f>
        <v>2334746</v>
      </c>
      <c r="D8" s="12">
        <f>D5-D6-D7</f>
        <v>3322517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>
      <c r="A9" s="10" t="s">
        <v>40</v>
      </c>
      <c r="B9" s="12"/>
      <c r="C9" s="12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>
      <c r="A10" s="10" t="s">
        <v>41</v>
      </c>
      <c r="B10" s="12">
        <v>7239</v>
      </c>
      <c r="C10" s="12">
        <v>22407</v>
      </c>
      <c r="D10" s="13">
        <v>57378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</row>
    <row r="11" spans="1:43">
      <c r="A11" s="10" t="s">
        <v>42</v>
      </c>
      <c r="B11" s="12">
        <v>23928</v>
      </c>
      <c r="C11" s="12">
        <v>74557</v>
      </c>
      <c r="D11" s="13">
        <v>62641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>
      <c r="A12" s="10" t="s">
        <v>43</v>
      </c>
      <c r="B12" s="12">
        <v>287884</v>
      </c>
      <c r="C12" s="12">
        <v>1227313</v>
      </c>
      <c r="D12" s="13">
        <v>351032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>
      <c r="A13" s="10" t="s">
        <v>44</v>
      </c>
      <c r="B13" s="12">
        <v>319408</v>
      </c>
      <c r="C13" s="12">
        <v>426890</v>
      </c>
      <c r="D13" s="13">
        <v>451427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>
      <c r="A14" s="11" t="s">
        <v>45</v>
      </c>
      <c r="B14" s="12">
        <f>B8+B9+B10-B11+B12-B13</f>
        <v>824149</v>
      </c>
      <c r="C14" s="12">
        <f>C8+C9+C10-C11+C12-C13</f>
        <v>3083019</v>
      </c>
      <c r="D14" s="12">
        <f>D8+D9+D10-D11+D12-D13</f>
        <v>3216859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>
      <c r="A15" s="10" t="s">
        <v>46</v>
      </c>
      <c r="B15" s="12">
        <v>191986</v>
      </c>
      <c r="C15" s="12">
        <v>467525</v>
      </c>
      <c r="D15" s="13">
        <v>656767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>
      <c r="A16" s="11" t="s">
        <v>47</v>
      </c>
      <c r="B16" s="12">
        <v>634019</v>
      </c>
      <c r="C16" s="12">
        <v>2617153</v>
      </c>
      <c r="D16" s="13">
        <v>2569035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>
      <c r="A18" s="28" t="s">
        <v>49</v>
      </c>
      <c r="B18" s="28" t="s">
        <v>154</v>
      </c>
      <c r="C18" s="28" t="s">
        <v>107</v>
      </c>
      <c r="D18" s="28" t="s">
        <v>108</v>
      </c>
      <c r="E18" s="28"/>
      <c r="F18" s="28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>
      <c r="A19" s="28"/>
      <c r="B19" s="28"/>
      <c r="C19" s="28"/>
      <c r="D19" s="1" t="s">
        <v>109</v>
      </c>
      <c r="E19" s="1" t="s">
        <v>110</v>
      </c>
      <c r="F19" s="1" t="s">
        <v>57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ht="26.25">
      <c r="A20" s="7" t="s">
        <v>111</v>
      </c>
      <c r="B20" s="1" t="s">
        <v>119</v>
      </c>
      <c r="C20" s="1"/>
      <c r="D20" s="1">
        <f>C3</f>
        <v>12885224</v>
      </c>
      <c r="E20" s="1">
        <f>D3</f>
        <v>13832675</v>
      </c>
      <c r="F20" s="1">
        <f>E20-D20</f>
        <v>947451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>
      <c r="A21" s="5" t="s">
        <v>112</v>
      </c>
      <c r="B21" s="1" t="s">
        <v>120</v>
      </c>
      <c r="C21" s="1"/>
      <c r="D21" s="1">
        <v>360</v>
      </c>
      <c r="E21" s="1">
        <v>360</v>
      </c>
      <c r="F21" s="1">
        <f t="shared" ref="F21:F27" si="0">E21-D21</f>
        <v>0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 ht="26.25">
      <c r="A22" s="7" t="s">
        <v>113</v>
      </c>
      <c r="B22" s="1" t="s">
        <v>121</v>
      </c>
      <c r="C22" s="1"/>
      <c r="D22" s="32">
        <f>D20/D21</f>
        <v>35792.288888888892</v>
      </c>
      <c r="E22" s="32">
        <f>E20/E21</f>
        <v>38424.097222222219</v>
      </c>
      <c r="F22" s="32">
        <f t="shared" si="0"/>
        <v>2631.808333333327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ht="26.25">
      <c r="A23" s="7" t="s">
        <v>114</v>
      </c>
      <c r="B23" s="1" t="s">
        <v>122</v>
      </c>
      <c r="C23" s="1" t="s">
        <v>130</v>
      </c>
      <c r="D23" s="32">
        <f>0.5*(Лист1!C19+Лист1!D19)</f>
        <v>4231748.5</v>
      </c>
      <c r="E23" s="32">
        <f>0.5*(Лист1!D19+Лист1!E19)</f>
        <v>5145590</v>
      </c>
      <c r="F23" s="32">
        <f t="shared" si="0"/>
        <v>913841.5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 ht="26.25">
      <c r="A24" s="7" t="s">
        <v>115</v>
      </c>
      <c r="B24" s="1" t="s">
        <v>123</v>
      </c>
      <c r="C24" s="18" t="s">
        <v>127</v>
      </c>
      <c r="D24" s="32">
        <f>D23*D21/D20</f>
        <v>118.23073157284654</v>
      </c>
      <c r="E24" s="32">
        <f>E23*E21/E20</f>
        <v>133.9157032172013</v>
      </c>
      <c r="F24" s="32">
        <f t="shared" si="0"/>
        <v>15.684971644354761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3">
      <c r="A25" s="5" t="s">
        <v>116</v>
      </c>
      <c r="B25" s="1" t="s">
        <v>124</v>
      </c>
      <c r="C25" s="1" t="s">
        <v>128</v>
      </c>
      <c r="D25" s="24">
        <f>D20/D23</f>
        <v>3.0448936178508719</v>
      </c>
      <c r="E25" s="24">
        <f>E20/E23</f>
        <v>2.6882582949671465</v>
      </c>
      <c r="F25" s="24">
        <f t="shared" si="0"/>
        <v>-0.35663532288372535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3">
      <c r="A26" s="5" t="s">
        <v>117</v>
      </c>
      <c r="B26" s="1" t="s">
        <v>125</v>
      </c>
      <c r="C26" s="1" t="s">
        <v>131</v>
      </c>
      <c r="D26" s="24">
        <f>D23/D20</f>
        <v>0.32841869881346264</v>
      </c>
      <c r="E26" s="24">
        <f>E23/E20</f>
        <v>0.37198806449222582</v>
      </c>
      <c r="F26" s="24">
        <f t="shared" si="0"/>
        <v>4.3569365678763183E-2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ht="39">
      <c r="A27" s="7" t="s">
        <v>118</v>
      </c>
      <c r="B27" s="1" t="s">
        <v>126</v>
      </c>
      <c r="C27" s="1" t="s">
        <v>129</v>
      </c>
      <c r="D27" s="1"/>
      <c r="E27" s="32">
        <f>(E24-D24)*E22</f>
        <v>602680.87539048598</v>
      </c>
      <c r="F27" s="32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</row>
    <row r="29" spans="1:43" ht="25.5">
      <c r="A29" s="18" t="str">
        <f>A18</f>
        <v>Показатели</v>
      </c>
      <c r="B29" s="18" t="str">
        <f>B18</f>
        <v>Усл. обоз.</v>
      </c>
      <c r="C29" s="18" t="s">
        <v>132</v>
      </c>
      <c r="D29" s="18" t="s">
        <v>133</v>
      </c>
      <c r="E29" s="18" t="s">
        <v>134</v>
      </c>
      <c r="F29" s="18" t="s">
        <v>135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</row>
    <row r="30" spans="1:43">
      <c r="A30" s="5" t="s">
        <v>136</v>
      </c>
      <c r="B30" s="5"/>
      <c r="C30" s="5"/>
      <c r="D30" s="5"/>
      <c r="E30" s="5"/>
      <c r="F30" s="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</row>
    <row r="31" spans="1:43">
      <c r="A31" s="5" t="s">
        <v>137</v>
      </c>
      <c r="B31" s="1" t="s">
        <v>140</v>
      </c>
      <c r="C31" s="1" t="s">
        <v>143</v>
      </c>
      <c r="D31" s="30">
        <f>Лист1!B145</f>
        <v>0.68274706523667361</v>
      </c>
      <c r="E31" s="30">
        <f>Лист1!C145</f>
        <v>1.2075511124658225</v>
      </c>
      <c r="F31" s="30">
        <f>E31-D31</f>
        <v>0.52480404722914886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</row>
    <row r="32" spans="1:43">
      <c r="A32" s="5" t="s">
        <v>138</v>
      </c>
      <c r="B32" s="1" t="s">
        <v>141</v>
      </c>
      <c r="C32" s="1" t="s">
        <v>144</v>
      </c>
      <c r="D32" s="30">
        <f>Лист1!B146</f>
        <v>1.8461533558792464</v>
      </c>
      <c r="E32" s="30">
        <f>Лист1!C146</f>
        <v>3.1772141088439887</v>
      </c>
      <c r="F32" s="30">
        <f t="shared" ref="F32:F41" si="1">E32-D32</f>
        <v>1.3310607529647422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</row>
    <row r="33" spans="1:43">
      <c r="A33" s="5" t="s">
        <v>139</v>
      </c>
      <c r="B33" s="1" t="s">
        <v>142</v>
      </c>
      <c r="C33" s="1" t="s">
        <v>145</v>
      </c>
      <c r="D33" s="30">
        <f>Лист1!B147</f>
        <v>2.2886072793957006</v>
      </c>
      <c r="E33" s="30">
        <f>Лист1!C147</f>
        <v>3.797748312301743</v>
      </c>
      <c r="F33" s="30">
        <f t="shared" si="1"/>
        <v>1.5091410329060424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</row>
    <row r="34" spans="1:43">
      <c r="A34" s="5" t="s">
        <v>146</v>
      </c>
      <c r="B34" s="1"/>
      <c r="C34" s="1"/>
      <c r="D34" s="4"/>
      <c r="E34" s="4"/>
      <c r="F34" s="30">
        <f t="shared" si="1"/>
        <v>0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</row>
    <row r="35" spans="1:43" ht="26.25">
      <c r="A35" s="7" t="s">
        <v>147</v>
      </c>
      <c r="B35" s="1" t="s">
        <v>155</v>
      </c>
      <c r="C35" s="1" t="s">
        <v>162</v>
      </c>
      <c r="D35" s="30">
        <f>Лист1!B132</f>
        <v>0.54478341924903317</v>
      </c>
      <c r="E35" s="30">
        <f>Лист1!C132</f>
        <v>0.59248191815390805</v>
      </c>
      <c r="F35" s="30">
        <f t="shared" si="1"/>
        <v>4.7698498904874875E-2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</row>
    <row r="36" spans="1:43" ht="26.25">
      <c r="A36" s="7" t="s">
        <v>148</v>
      </c>
      <c r="B36" s="1" t="s">
        <v>156</v>
      </c>
      <c r="C36" s="1" t="s">
        <v>163</v>
      </c>
      <c r="D36" s="30">
        <f>Лист1!B93/Лист1!B86</f>
        <v>0.83559184194421443</v>
      </c>
      <c r="E36" s="30">
        <f>Лист1!C93/Лист1!C86</f>
        <v>0.68781522162880881</v>
      </c>
      <c r="F36" s="30">
        <f t="shared" si="1"/>
        <v>-0.14777662031540562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</row>
    <row r="37" spans="1:43">
      <c r="A37" s="5" t="s">
        <v>149</v>
      </c>
      <c r="B37" s="1" t="s">
        <v>157</v>
      </c>
      <c r="C37" s="1" t="s">
        <v>143</v>
      </c>
      <c r="D37" s="30">
        <f>Лист1!B135</f>
        <v>-9.1586514074020742E-2</v>
      </c>
      <c r="E37" s="30">
        <f>Лист1!C135</f>
        <v>4.5467357112931775E-2</v>
      </c>
      <c r="F37" s="30">
        <f t="shared" si="1"/>
        <v>0.1370538711869525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</row>
    <row r="38" spans="1:43" ht="26.25">
      <c r="A38" s="7" t="s">
        <v>150</v>
      </c>
      <c r="B38" s="1" t="s">
        <v>158</v>
      </c>
      <c r="C38" s="1" t="str">
        <f>C35</f>
        <v>&gt;0,5</v>
      </c>
      <c r="D38" s="30">
        <f>Лист1!B133</f>
        <v>-0.12309927179715009</v>
      </c>
      <c r="E38" s="30">
        <f>Лист1!C133</f>
        <v>6.2005232949827398E-2</v>
      </c>
      <c r="F38" s="30">
        <f t="shared" si="1"/>
        <v>0.18510450474697748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</row>
    <row r="39" spans="1:43" ht="26.25">
      <c r="A39" s="7" t="s">
        <v>151</v>
      </c>
      <c r="B39" s="1" t="s">
        <v>159</v>
      </c>
      <c r="C39" s="1" t="str">
        <f>C38</f>
        <v>&gt;0,5</v>
      </c>
      <c r="D39" s="30">
        <f>(Лист1!D4+Лист1!D5+Лист1!D11)/Лист1!D20</f>
        <v>0.63452319750638697</v>
      </c>
      <c r="E39" s="30">
        <f>(Лист1!E4+Лист1!E5+Лист1!E11)/Лист1!E20</f>
        <v>0.58035043661822383</v>
      </c>
      <c r="F39" s="30">
        <f t="shared" si="1"/>
        <v>-5.4172760888163141E-2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</row>
    <row r="40" spans="1:43" ht="26.25">
      <c r="A40" s="7" t="s">
        <v>152</v>
      </c>
      <c r="B40" s="1" t="s">
        <v>160</v>
      </c>
      <c r="C40" s="1"/>
      <c r="D40" s="30">
        <f>Лист1!D5/Лист1!D19</f>
        <v>1.2904880564615631</v>
      </c>
      <c r="E40" s="30">
        <f>Лист1!E5/Лист1!E19</f>
        <v>1.0978989863118149</v>
      </c>
      <c r="F40" s="30">
        <f t="shared" si="1"/>
        <v>-0.19258907014974813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</row>
    <row r="41" spans="1:43" ht="26.25">
      <c r="A41" s="7" t="s">
        <v>153</v>
      </c>
      <c r="B41" s="18" t="s">
        <v>161</v>
      </c>
      <c r="C41" s="1"/>
      <c r="D41" s="30">
        <f>Лист1!D13/(Лист1!D36+Лист1!D32)</f>
        <v>0.506585053378658</v>
      </c>
      <c r="E41" s="30">
        <f>Лист1!E13/(Лист1!E36+Лист1!E32)</f>
        <v>1.1632270728218583</v>
      </c>
      <c r="F41" s="30">
        <f t="shared" si="1"/>
        <v>0.65664201944320033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</row>
    <row r="42" spans="1:43">
      <c r="A42" s="14"/>
      <c r="B42" s="14"/>
      <c r="C42" s="14"/>
      <c r="D42" s="14"/>
      <c r="E42" s="14"/>
      <c r="F42" s="33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</row>
    <row r="43" spans="1:4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</row>
    <row r="44" spans="1:43" ht="15" customHeight="1">
      <c r="A44" s="17" t="str">
        <f>A29</f>
        <v>Показатели</v>
      </c>
      <c r="B44" s="17" t="s">
        <v>164</v>
      </c>
      <c r="C44" s="17"/>
      <c r="D44" s="17" t="s">
        <v>166</v>
      </c>
      <c r="E44" s="17"/>
      <c r="F44" s="17" t="s">
        <v>135</v>
      </c>
      <c r="G44" s="17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</row>
    <row r="45" spans="1:43" ht="25.5">
      <c r="A45" s="17"/>
      <c r="B45" s="18" t="s">
        <v>165</v>
      </c>
      <c r="C45" s="18" t="s">
        <v>167</v>
      </c>
      <c r="D45" s="18" t="str">
        <f>B45</f>
        <v>сумма, тыс. руб.</v>
      </c>
      <c r="E45" s="18" t="str">
        <f>C45</f>
        <v>уд. вес.</v>
      </c>
      <c r="F45" s="18" t="s">
        <v>168</v>
      </c>
      <c r="G45" s="18" t="s">
        <v>169</v>
      </c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</row>
    <row r="46" spans="1:43">
      <c r="A46" s="5" t="s">
        <v>170</v>
      </c>
      <c r="B46" s="4">
        <f>C14</f>
        <v>3083019</v>
      </c>
      <c r="C46" s="4">
        <f>B46/$B$46*100</f>
        <v>100</v>
      </c>
      <c r="D46" s="4">
        <f>D14</f>
        <v>3216859</v>
      </c>
      <c r="E46" s="4">
        <f>D46/$D$46*100</f>
        <v>100</v>
      </c>
      <c r="F46" s="4">
        <f>D46-B46</f>
        <v>133840</v>
      </c>
      <c r="G46" s="27">
        <f>D46/B46*100</f>
        <v>104.34119932442843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</row>
    <row r="47" spans="1:43">
      <c r="A47" s="5" t="s">
        <v>39</v>
      </c>
      <c r="B47" s="4">
        <f>C8</f>
        <v>2334746</v>
      </c>
      <c r="C47" s="27">
        <f t="shared" ref="C47:E51" si="2">B47/$B$46*100</f>
        <v>75.729212178063122</v>
      </c>
      <c r="D47" s="4">
        <f>D8</f>
        <v>3322517</v>
      </c>
      <c r="E47" s="27">
        <f t="shared" ref="E47:E51" si="3">D47/$D$46*100</f>
        <v>103.28450827344314</v>
      </c>
      <c r="F47" s="4">
        <f t="shared" ref="F47:F51" si="4">D47-B47</f>
        <v>987771</v>
      </c>
      <c r="G47" s="27">
        <f t="shared" ref="G47:G51" si="5">D47/B47*100</f>
        <v>142.30742873100544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</row>
    <row r="48" spans="1:43">
      <c r="A48" s="5" t="s">
        <v>41</v>
      </c>
      <c r="B48" s="4">
        <f>C10</f>
        <v>22407</v>
      </c>
      <c r="C48" s="27">
        <f t="shared" si="2"/>
        <v>0.72678760656356645</v>
      </c>
      <c r="D48" s="4">
        <f>D10</f>
        <v>57378</v>
      </c>
      <c r="E48" s="27">
        <f t="shared" si="3"/>
        <v>1.7836653704747394</v>
      </c>
      <c r="F48" s="4">
        <f t="shared" si="4"/>
        <v>34971</v>
      </c>
      <c r="G48" s="27">
        <f t="shared" si="5"/>
        <v>256.07176328825813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</row>
    <row r="49" spans="1:43">
      <c r="A49" s="5" t="s">
        <v>171</v>
      </c>
      <c r="B49" s="4">
        <f>C12</f>
        <v>1227313</v>
      </c>
      <c r="C49" s="27">
        <f t="shared" si="2"/>
        <v>39.808804292156488</v>
      </c>
      <c r="D49" s="4">
        <f>D12</f>
        <v>351032</v>
      </c>
      <c r="E49" s="27">
        <f t="shared" si="3"/>
        <v>10.912259443140032</v>
      </c>
      <c r="F49" s="4">
        <f t="shared" si="4"/>
        <v>-876281</v>
      </c>
      <c r="G49" s="27">
        <f t="shared" si="5"/>
        <v>28.601668848940736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</row>
    <row r="50" spans="1:43">
      <c r="A50" s="5" t="s">
        <v>42</v>
      </c>
      <c r="B50" s="4">
        <f>C11</f>
        <v>74557</v>
      </c>
      <c r="C50" s="27">
        <f t="shared" si="2"/>
        <v>2.4183114019083245</v>
      </c>
      <c r="D50" s="4">
        <f>D11</f>
        <v>62641</v>
      </c>
      <c r="E50" s="27">
        <f t="shared" si="3"/>
        <v>1.9472721682858962</v>
      </c>
      <c r="F50" s="4">
        <f t="shared" si="4"/>
        <v>-11916</v>
      </c>
      <c r="G50" s="27">
        <f t="shared" si="5"/>
        <v>84.017597274568459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</row>
    <row r="51" spans="1:43">
      <c r="A51" s="5" t="s">
        <v>172</v>
      </c>
      <c r="B51" s="4">
        <f>C13</f>
        <v>426890</v>
      </c>
      <c r="C51" s="27">
        <f t="shared" si="2"/>
        <v>13.846492674874856</v>
      </c>
      <c r="D51" s="4">
        <f>D13</f>
        <v>451427</v>
      </c>
      <c r="E51" s="27">
        <f t="shared" si="3"/>
        <v>14.033160918772007</v>
      </c>
      <c r="F51" s="4">
        <f t="shared" si="4"/>
        <v>24537</v>
      </c>
      <c r="G51" s="27">
        <f t="shared" si="5"/>
        <v>105.74785073438122</v>
      </c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</row>
    <row r="52" spans="1:4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</row>
    <row r="53" spans="1:43" ht="38.25">
      <c r="A53" s="18" t="str">
        <f>A44</f>
        <v>Показатели</v>
      </c>
      <c r="B53" s="18" t="str">
        <f>B44</f>
        <v>Предыдущий период</v>
      </c>
      <c r="C53" s="18" t="str">
        <f>D44</f>
        <v>Отчетный период</v>
      </c>
      <c r="D53" s="18" t="str">
        <f>F44</f>
        <v>Изменение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</row>
    <row r="54" spans="1:43">
      <c r="A54" s="7" t="s">
        <v>173</v>
      </c>
      <c r="B54" s="1">
        <f>C3</f>
        <v>12885224</v>
      </c>
      <c r="C54" s="1">
        <f>D3</f>
        <v>13832675</v>
      </c>
      <c r="D54" s="1">
        <f>C54-B54</f>
        <v>947451</v>
      </c>
      <c r="E54" s="14">
        <f>C54/B54</f>
        <v>1.0735300371960939</v>
      </c>
      <c r="F54" s="14" t="s">
        <v>188</v>
      </c>
      <c r="G54" s="14"/>
      <c r="H54" s="14"/>
      <c r="I54" s="14"/>
      <c r="J54" s="14"/>
      <c r="K54" s="34">
        <f>B58*(C54/B54-1)</f>
        <v>171673.96022343135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</row>
    <row r="55" spans="1:43" ht="26.25">
      <c r="A55" s="7" t="s">
        <v>174</v>
      </c>
      <c r="B55" s="1">
        <f>C4</f>
        <v>7964439</v>
      </c>
      <c r="C55" s="1">
        <f>D4</f>
        <v>8261963</v>
      </c>
      <c r="D55" s="1">
        <f t="shared" ref="D55:D58" si="6">C55-B55</f>
        <v>297524</v>
      </c>
      <c r="E55" s="14"/>
      <c r="F55" s="14" t="s">
        <v>189</v>
      </c>
      <c r="G55" s="14"/>
      <c r="H55" s="14"/>
      <c r="I55" s="14"/>
      <c r="J55" s="14"/>
      <c r="K55" s="34">
        <f>B55*E54-C55</f>
        <v>288101.49591602013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</row>
    <row r="56" spans="1:43">
      <c r="A56" s="7" t="s">
        <v>37</v>
      </c>
      <c r="B56" s="1">
        <f>C6</f>
        <v>1647499</v>
      </c>
      <c r="C56" s="1">
        <f>D6</f>
        <v>1212653</v>
      </c>
      <c r="D56" s="1">
        <f t="shared" si="6"/>
        <v>-434846</v>
      </c>
      <c r="E56" s="14"/>
      <c r="F56" s="14" t="str">
        <f>A56</f>
        <v>Коммерческие расходы</v>
      </c>
      <c r="G56" s="14"/>
      <c r="H56" s="14"/>
      <c r="I56" s="14"/>
      <c r="J56" s="14"/>
      <c r="K56" s="34">
        <f>B56*E54-C56</f>
        <v>555986.6627505275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</row>
    <row r="57" spans="1:43">
      <c r="A57" s="7" t="s">
        <v>38</v>
      </c>
      <c r="B57" s="1">
        <f t="shared" ref="B57:C58" si="7">C7</f>
        <v>938540</v>
      </c>
      <c r="C57" s="1">
        <f t="shared" si="7"/>
        <v>1035542</v>
      </c>
      <c r="D57" s="1">
        <f t="shared" si="6"/>
        <v>97002</v>
      </c>
      <c r="E57" s="14"/>
      <c r="F57" s="14" t="str">
        <f>A57</f>
        <v>Управленческие расходы</v>
      </c>
      <c r="G57" s="14"/>
      <c r="H57" s="14"/>
      <c r="I57" s="14"/>
      <c r="J57" s="14"/>
      <c r="K57" s="34">
        <f>B57*E54-C57</f>
        <v>-27991.118889978039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</row>
    <row r="58" spans="1:43">
      <c r="A58" s="7" t="s">
        <v>39</v>
      </c>
      <c r="B58" s="1">
        <f t="shared" si="7"/>
        <v>2334746</v>
      </c>
      <c r="C58" s="1">
        <f t="shared" si="7"/>
        <v>3322517</v>
      </c>
      <c r="D58" s="1">
        <f t="shared" si="6"/>
        <v>987771</v>
      </c>
      <c r="E58" s="14"/>
      <c r="F58" s="14"/>
      <c r="G58" s="14"/>
      <c r="H58" s="14"/>
      <c r="I58" s="14"/>
      <c r="J58" s="14"/>
      <c r="K58" s="34">
        <f>SUM(K54:K57)</f>
        <v>987771.00000000093</v>
      </c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</row>
    <row r="59" spans="1:4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</row>
    <row r="60" spans="1:4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</row>
    <row r="61" spans="1:43" ht="25.5">
      <c r="A61" s="18" t="str">
        <f>A53</f>
        <v>Показатели</v>
      </c>
      <c r="B61" s="18" t="s">
        <v>107</v>
      </c>
      <c r="C61" s="18" t="str">
        <f>B53</f>
        <v>Предыдущий период</v>
      </c>
      <c r="D61" s="18" t="str">
        <f t="shared" ref="D61:E61" si="8">C53</f>
        <v>Отчетный период</v>
      </c>
      <c r="E61" s="18" t="str">
        <f t="shared" si="8"/>
        <v>Изменение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</row>
    <row r="62" spans="1:43" ht="25.5">
      <c r="A62" s="7" t="s">
        <v>175</v>
      </c>
      <c r="B62" s="18" t="s">
        <v>178</v>
      </c>
      <c r="C62" s="19">
        <f>C8/(C4+C6+C7)*100</f>
        <v>22.129291203678164</v>
      </c>
      <c r="D62" s="19">
        <f>D8/(D4+D6+D7)*100</f>
        <v>31.612436273555545</v>
      </c>
      <c r="E62" s="19">
        <f>D62-C62</f>
        <v>9.4831450698773807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</row>
    <row r="63" spans="1:43" ht="25.5">
      <c r="A63" s="7" t="s">
        <v>176</v>
      </c>
      <c r="B63" s="18" t="s">
        <v>179</v>
      </c>
      <c r="C63" s="19">
        <f>C8/C3*100</f>
        <v>18.119560824088119</v>
      </c>
      <c r="D63" s="19">
        <f>D8/D3*100</f>
        <v>24.019338269712836</v>
      </c>
      <c r="E63" s="19">
        <f t="shared" ref="E63:E64" si="9">D63-C63</f>
        <v>5.8997774456247178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</row>
    <row r="64" spans="1:43" ht="25.5">
      <c r="A64" s="7" t="s">
        <v>177</v>
      </c>
      <c r="B64" s="18" t="s">
        <v>180</v>
      </c>
      <c r="C64" s="19">
        <f>C16/C3*100</f>
        <v>20.311272819160926</v>
      </c>
      <c r="D64" s="19">
        <f>D16/D3*100</f>
        <v>18.572221208117735</v>
      </c>
      <c r="E64" s="19">
        <f t="shared" si="9"/>
        <v>-1.7390516110431911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</row>
    <row r="65" spans="1:4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</row>
    <row r="66" spans="1:4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</row>
    <row r="67" spans="1:43" ht="25.5">
      <c r="A67" s="18" t="str">
        <f>A61</f>
        <v>Показатели</v>
      </c>
      <c r="B67" s="18" t="str">
        <f t="shared" ref="B67:E67" si="10">B61</f>
        <v>Расчет</v>
      </c>
      <c r="C67" s="18" t="str">
        <f t="shared" si="10"/>
        <v>Предыдущий период</v>
      </c>
      <c r="D67" s="18" t="str">
        <f t="shared" si="10"/>
        <v>Отчетный период</v>
      </c>
      <c r="E67" s="18" t="str">
        <f t="shared" si="10"/>
        <v>Изменение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</row>
    <row r="68" spans="1:43" ht="25.5">
      <c r="A68" s="5" t="s">
        <v>181</v>
      </c>
      <c r="B68" s="18" t="s">
        <v>184</v>
      </c>
      <c r="C68" s="24">
        <f>C16/(0.5*(Лист1!C20+Лист1!D20))*100</f>
        <v>25.478851744921855</v>
      </c>
      <c r="D68" s="24">
        <f>D16/(0.5*(Лист1!D20+Лист1!E20))*100</f>
        <v>21.023421605678159</v>
      </c>
      <c r="E68" s="24">
        <f>D68-C68</f>
        <v>-4.4554301392436955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</row>
    <row r="69" spans="1:43" ht="25.5">
      <c r="A69" s="5" t="s">
        <v>182</v>
      </c>
      <c r="B69" s="18" t="s">
        <v>185</v>
      </c>
      <c r="C69" s="24">
        <f>C16/(0.5*(Лист1!C20-Лист1!C16-Лист1!C6))*100</f>
        <v>56.126472550194286</v>
      </c>
      <c r="D69" s="24">
        <f>D16/(0.5*(Лист1!D20-Лист1!D16-Лист1!D6))*100</f>
        <v>45.803517177243826</v>
      </c>
      <c r="E69" s="24">
        <f t="shared" ref="E69:E70" si="11">D69-C69</f>
        <v>-10.32295537295046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</row>
    <row r="70" spans="1:43" ht="25.5">
      <c r="A70" s="5" t="s">
        <v>183</v>
      </c>
      <c r="B70" s="18" t="s">
        <v>186</v>
      </c>
      <c r="C70" s="24">
        <f>C16/(0.5*(Лист1!C28+Лист1!D28))*100</f>
        <v>47.826816739430633</v>
      </c>
      <c r="D70" s="24">
        <f>D16/(0.5*(Лист1!D28+Лист1!E28))*100</f>
        <v>36.845159359238565</v>
      </c>
      <c r="E70" s="24">
        <f t="shared" si="11"/>
        <v>-10.981657380192068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</row>
    <row r="71" spans="1:4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</row>
    <row r="72" spans="1:4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</row>
    <row r="73" spans="1:4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</row>
    <row r="74" spans="1:4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</row>
    <row r="75" spans="1:4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</row>
    <row r="76" spans="1:4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</row>
    <row r="77" spans="1:4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</row>
    <row r="78" spans="1:4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</row>
    <row r="79" spans="1:4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</row>
    <row r="80" spans="1:4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</row>
    <row r="81" spans="1:4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</row>
    <row r="82" spans="1:4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</row>
    <row r="83" spans="1:4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</row>
    <row r="84" spans="1:4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</row>
    <row r="85" spans="1:4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</row>
    <row r="86" spans="1:4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</row>
    <row r="87" spans="1:4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</row>
    <row r="88" spans="1:4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</row>
    <row r="89" spans="1:4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</row>
    <row r="90" spans="1:4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</row>
    <row r="91" spans="1:4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</row>
    <row r="92" spans="1:4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</row>
    <row r="93" spans="1:4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</row>
    <row r="94" spans="1:4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</row>
    <row r="95" spans="1:4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</row>
    <row r="96" spans="1:4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</row>
    <row r="97" spans="1:4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</row>
    <row r="98" spans="1:4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</row>
    <row r="99" spans="1:4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</row>
    <row r="100" spans="1:4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</row>
    <row r="101" spans="1:4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</row>
    <row r="102" spans="1:4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</row>
    <row r="103" spans="1:4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</row>
    <row r="104" spans="1:4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</row>
    <row r="105" spans="1:4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</row>
    <row r="106" spans="1:4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</row>
    <row r="107" spans="1:4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</row>
    <row r="108" spans="1:4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</row>
    <row r="109" spans="1:4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</row>
    <row r="110" spans="1:4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</row>
    <row r="111" spans="1:4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</row>
    <row r="112" spans="1:4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</row>
    <row r="113" spans="1:4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</row>
    <row r="114" spans="1:4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</row>
    <row r="115" spans="1:4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</row>
    <row r="116" spans="1:4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</row>
    <row r="117" spans="1:4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</row>
    <row r="118" spans="1:4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</row>
    <row r="119" spans="1:4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</row>
    <row r="120" spans="1:4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</row>
    <row r="121" spans="1:4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</row>
    <row r="122" spans="1:4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</row>
    <row r="123" spans="1:4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</row>
    <row r="124" spans="1:4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</row>
    <row r="125" spans="1:4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</row>
    <row r="126" spans="1:4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</row>
    <row r="127" spans="1:4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</row>
    <row r="128" spans="1:4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</row>
    <row r="129" spans="1:4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</row>
    <row r="130" spans="1:4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</row>
    <row r="131" spans="1:4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</row>
    <row r="132" spans="1:4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</row>
    <row r="133" spans="1:4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</row>
    <row r="134" spans="1:4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</row>
    <row r="135" spans="1:4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</row>
    <row r="136" spans="1:4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</row>
    <row r="137" spans="1:4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</row>
    <row r="138" spans="1:4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</row>
    <row r="139" spans="1:4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</row>
    <row r="140" spans="1:4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</row>
    <row r="141" spans="1:4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</row>
    <row r="142" spans="1:4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</row>
    <row r="143" spans="1:4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</row>
    <row r="144" spans="1:4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</row>
    <row r="145" spans="1:4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</row>
    <row r="146" spans="1:4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</row>
    <row r="147" spans="1:4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</row>
    <row r="148" spans="1:4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</row>
    <row r="149" spans="1:4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</row>
    <row r="150" spans="1:4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</row>
    <row r="151" spans="1:4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</row>
    <row r="152" spans="1:4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</row>
    <row r="153" spans="1:4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</row>
    <row r="154" spans="1:4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</row>
    <row r="155" spans="1:4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</row>
    <row r="156" spans="1:4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</row>
    <row r="157" spans="1:4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</row>
    <row r="158" spans="1:4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</row>
    <row r="159" spans="1:4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</row>
    <row r="160" spans="1:4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</row>
    <row r="161" spans="1:4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</row>
    <row r="162" spans="1:4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</row>
    <row r="163" spans="1:4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</row>
    <row r="164" spans="1:4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</row>
    <row r="165" spans="1:4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</row>
    <row r="166" spans="1:4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</row>
    <row r="167" spans="1:4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</row>
    <row r="168" spans="1:4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</row>
    <row r="169" spans="1:4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</row>
    <row r="170" spans="1:4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</row>
    <row r="171" spans="1:4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</row>
    <row r="172" spans="1:4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</row>
    <row r="173" spans="1:4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</row>
    <row r="174" spans="1:4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</row>
    <row r="175" spans="1:4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</row>
    <row r="176" spans="1:4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</row>
    <row r="177" spans="1:4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</row>
    <row r="178" spans="1:4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</row>
    <row r="179" spans="1:4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</row>
    <row r="180" spans="1:4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</row>
    <row r="181" spans="1:4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</row>
    <row r="182" spans="1:4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</row>
    <row r="183" spans="1:4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</row>
    <row r="184" spans="1:4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</row>
    <row r="185" spans="1:4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</row>
    <row r="186" spans="1:4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</row>
    <row r="187" spans="1:4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</row>
    <row r="188" spans="1:4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</row>
    <row r="189" spans="1:4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</row>
    <row r="190" spans="1:4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</row>
    <row r="191" spans="1:4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</row>
    <row r="192" spans="1:4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</row>
    <row r="193" spans="1:4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</row>
    <row r="194" spans="1:4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</row>
    <row r="195" spans="1:4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</row>
    <row r="196" spans="1:4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</row>
    <row r="197" spans="1:4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</row>
    <row r="198" spans="1:4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</row>
    <row r="199" spans="1:4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</row>
    <row r="200" spans="1:4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</row>
    <row r="201" spans="1:4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</row>
    <row r="202" spans="1:4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</row>
    <row r="203" spans="1:4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</row>
    <row r="204" spans="1:4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</row>
    <row r="205" spans="1:4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</row>
    <row r="206" spans="1:4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</row>
    <row r="207" spans="1:4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</row>
    <row r="208" spans="1:4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</row>
    <row r="209" spans="1:4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</row>
    <row r="210" spans="1:4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</row>
    <row r="211" spans="1:4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</row>
    <row r="212" spans="1:4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</row>
    <row r="213" spans="1:4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</row>
    <row r="214" spans="1:4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</row>
    <row r="215" spans="1:4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</row>
    <row r="216" spans="1:4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</row>
    <row r="217" spans="1:4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</row>
    <row r="218" spans="1:4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</row>
    <row r="219" spans="1:4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</row>
    <row r="220" spans="1:4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</row>
    <row r="221" spans="1:4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</row>
    <row r="222" spans="1:4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</row>
    <row r="223" spans="1:4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</row>
    <row r="224" spans="1:4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</row>
    <row r="225" spans="1:4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</row>
    <row r="226" spans="1:4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</row>
    <row r="227" spans="1:4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</row>
    <row r="228" spans="1:4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</row>
    <row r="229" spans="1:4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</row>
    <row r="230" spans="1:4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</row>
    <row r="231" spans="1:4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</row>
    <row r="232" spans="1:4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</row>
    <row r="233" spans="1:4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</row>
    <row r="234" spans="1:4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</row>
    <row r="235" spans="1:4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</row>
    <row r="236" spans="1:4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</row>
    <row r="237" spans="1:4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</row>
    <row r="238" spans="1:4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</row>
    <row r="239" spans="1:4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</row>
    <row r="240" spans="1:4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</row>
    <row r="241" spans="1:4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</row>
    <row r="242" spans="1:4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</row>
    <row r="243" spans="1:4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</row>
    <row r="244" spans="1:4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</row>
    <row r="245" spans="1:4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</row>
    <row r="246" spans="1:43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</row>
    <row r="247" spans="1:43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</row>
    <row r="248" spans="1:43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</row>
    <row r="249" spans="1:43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</row>
    <row r="250" spans="1:43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</row>
    <row r="251" spans="1:4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</row>
    <row r="252" spans="1:43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</row>
    <row r="253" spans="1:4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</row>
    <row r="254" spans="1:4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</row>
    <row r="255" spans="1:43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</row>
    <row r="256" spans="1:43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</row>
    <row r="257" spans="1:43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</row>
    <row r="258" spans="1:43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</row>
    <row r="259" spans="1:43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</row>
    <row r="260" spans="1:43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</row>
    <row r="261" spans="1:4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</row>
    <row r="262" spans="1:43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</row>
    <row r="263" spans="1:4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</row>
    <row r="264" spans="1:43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</row>
    <row r="265" spans="1:43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</row>
    <row r="266" spans="1:43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</row>
    <row r="267" spans="1:43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</row>
    <row r="268" spans="1:43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</row>
    <row r="269" spans="1:43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</row>
    <row r="270" spans="1:43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</row>
    <row r="271" spans="1:43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</row>
    <row r="272" spans="1:43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</row>
    <row r="273" spans="1:4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</row>
    <row r="274" spans="1:43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</row>
    <row r="275" spans="1:43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</row>
    <row r="276" spans="1:43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</row>
    <row r="277" spans="1:43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</row>
    <row r="278" spans="1:43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</row>
    <row r="279" spans="1:43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</row>
    <row r="280" spans="1:43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</row>
    <row r="281" spans="1:43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</row>
    <row r="282" spans="1:43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</row>
    <row r="283" spans="1:4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</row>
    <row r="284" spans="1:4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</row>
    <row r="285" spans="1:43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</row>
    <row r="286" spans="1:43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</row>
    <row r="287" spans="1:43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</row>
    <row r="288" spans="1:43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</row>
    <row r="289" spans="1:43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</row>
    <row r="290" spans="1:43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</row>
    <row r="291" spans="1:43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</row>
    <row r="292" spans="1:43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</row>
    <row r="293" spans="1:4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</row>
    <row r="294" spans="1:43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</row>
  </sheetData>
  <mergeCells count="8">
    <mergeCell ref="D18:F18"/>
    <mergeCell ref="A18:A19"/>
    <mergeCell ref="B18:B19"/>
    <mergeCell ref="C18:C19"/>
    <mergeCell ref="B44:C44"/>
    <mergeCell ref="D44:E44"/>
    <mergeCell ref="F44:G44"/>
    <mergeCell ref="A44:A4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2023-05-25T04:44:02Z</dcterms:modified>
</cp:coreProperties>
</file>